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26004"/>
  <workbookPr/>
  <bookViews>
    <workbookView xWindow="2080" yWindow="0" windowWidth="36940" windowHeight="25920" tabRatio="943" firstSheet="6" activeTab="11"/>
  </bookViews>
  <sheets>
    <sheet name="Recapitulation" sheetId="1" r:id="rId1"/>
    <sheet name="SA_SO1_Toalety" sheetId="2" r:id="rId2"/>
    <sheet name="SA_S02_Restaurace_zázemí" sheetId="23" r:id="rId3"/>
    <sheet name="SA_S03_Zasedací místnost" sheetId="3" r:id="rId4"/>
    <sheet name="SA_SO4_Šatny a chodba" sheetId="20" r:id="rId5"/>
    <sheet name="SA_S05_Spol_sál" sheetId="4" r:id="rId6"/>
    <sheet name="SA_SO6_Technické_zázemí" sheetId="5" r:id="rId7"/>
    <sheet name="SA_SO7_Suterén" sheetId="6" r:id="rId8"/>
    <sheet name="SA_S08_Vnější_úpravy" sheetId="22" r:id="rId9"/>
    <sheet name="SA_PREFA" sheetId="21" r:id="rId10"/>
    <sheet name="PBŘ" sheetId="15" r:id="rId11"/>
    <sheet name="ZTI" sheetId="8" r:id="rId12"/>
    <sheet name="UT_TC" sheetId="10" r:id="rId13"/>
    <sheet name="UT_OS" sheetId="12" r:id="rId14"/>
    <sheet name="VZT_01_02" sheetId="11" r:id="rId15"/>
    <sheet name="VZT_03" sheetId="13" r:id="rId16"/>
    <sheet name="EL_Silnoproud" sheetId="7" r:id="rId17"/>
    <sheet name="EL_Slaboproud" sheetId="9" r:id="rId18"/>
  </sheets>
  <definedNames>
    <definedName name="_xlnm.Print_Area" localSheetId="0">'Recapitulation'!$A$1:$D$66</definedName>
    <definedName name="_xlnm.Print_Area" localSheetId="9">'SA_PREFA'!$A$1:$G$90</definedName>
    <definedName name="_xlnm.Print_Area" localSheetId="2">'SA_S02_Restaurace_zázemí'!$A$1:$G$376</definedName>
    <definedName name="_xlnm.Print_Area" localSheetId="3">'SA_S03_Zasedací místnost'!$A$1:$G$236</definedName>
    <definedName name="_xlnm.Print_Area" localSheetId="5">'SA_S05_Spol_sál'!$A$1:$G$332</definedName>
    <definedName name="_xlnm.Print_Area" localSheetId="8">'SA_S08_Vnější_úpravy'!$A$1:$G$378</definedName>
    <definedName name="_xlnm.Print_Area" localSheetId="1">'SA_SO1_Toalety'!$A$1:$G$267</definedName>
    <definedName name="_xlnm.Print_Area" localSheetId="4">'SA_SO4_Šatny a chodba'!$A$1:$G$447</definedName>
    <definedName name="_xlnm.Print_Area" localSheetId="6">'SA_SO6_Technické_zázemí'!$A$1:$G$254</definedName>
    <definedName name="_xlnm.Print_Area" localSheetId="7">'SA_SO7_Suterén'!$A$1:$G$182</definedName>
    <definedName name="_xlnm.Print_Area" localSheetId="11">'ZTI'!$A$1:$G$156</definedName>
    <definedName name="_xlnm.Print_Titles" localSheetId="0">'Recapitulation'!$1:$7</definedName>
    <definedName name="_xlnm.Print_Titles" localSheetId="1">'SA_SO1_Toalety'!$1:$7</definedName>
    <definedName name="_xlnm.Print_Titles" localSheetId="2">'SA_S02_Restaurace_zázemí'!$1:$7</definedName>
    <definedName name="_xlnm.Print_Titles" localSheetId="3">'SA_S03_Zasedací místnost'!$1:$7</definedName>
    <definedName name="_xlnm.Print_Titles" localSheetId="4">'SA_SO4_Šatny a chodba'!$1:$7</definedName>
    <definedName name="_xlnm.Print_Titles" localSheetId="5">'SA_S05_Spol_sál'!$1:$7</definedName>
    <definedName name="_xlnm.Print_Titles" localSheetId="6">'SA_SO6_Technické_zázemí'!$1:$7</definedName>
    <definedName name="_xlnm.Print_Titles" localSheetId="7">'SA_SO7_Suterén'!$1:$7</definedName>
    <definedName name="_xlnm.Print_Titles" localSheetId="8">'SA_S08_Vnější_úpravy'!$1:$7</definedName>
    <definedName name="_xlnm.Print_Titles" localSheetId="9">'SA_PREFA'!$1:$7</definedName>
    <definedName name="_xlnm.Print_Titles" localSheetId="10">'PBŘ'!$1:$7</definedName>
    <definedName name="_xlnm.Print_Titles" localSheetId="11">'ZTI'!$1:$7</definedName>
    <definedName name="_xlnm.Print_Titles" localSheetId="12">'UT_TC'!$1:$7</definedName>
    <definedName name="_xlnm.Print_Titles" localSheetId="13">'UT_OS'!$1:$7</definedName>
    <definedName name="_xlnm.Print_Titles" localSheetId="14">'VZT_01_02'!$1:$7</definedName>
    <definedName name="_xlnm.Print_Titles" localSheetId="15">'VZT_03'!$1:$7</definedName>
    <definedName name="_xlnm.Print_Titles" localSheetId="16">'EL_Silnoproud'!$1:$7</definedName>
    <definedName name="_xlnm.Print_Titles" localSheetId="17">'EL_Slaboproud'!$1:$7</definedName>
  </definedNames>
  <calcPr calcId="140001"/>
  <extLst/>
</workbook>
</file>

<file path=xl/sharedStrings.xml><?xml version="1.0" encoding="utf-8"?>
<sst xmlns="http://schemas.openxmlformats.org/spreadsheetml/2006/main" count="7757" uniqueCount="2487">
  <si>
    <t>Zákazník:</t>
  </si>
  <si>
    <t>Obec Zaječov, Zaječov 265, 267 63 Zaječov</t>
  </si>
  <si>
    <r>
      <t xml:space="preserve">IO Studio, s.r.o.
</t>
    </r>
    <r>
      <rPr>
        <sz val="9"/>
        <rFont val="Arial"/>
        <family val="2"/>
      </rPr>
      <t>Opletalova 16, Praha 1</t>
    </r>
  </si>
  <si>
    <t>Projekt:</t>
  </si>
  <si>
    <t>Část:</t>
  </si>
  <si>
    <t>Rekapitulace</t>
  </si>
  <si>
    <t>SO</t>
  </si>
  <si>
    <t>Stavební objekt</t>
  </si>
  <si>
    <t>Označení soupisu</t>
  </si>
  <si>
    <t>Cena CZK 
Price CZK</t>
  </si>
  <si>
    <t>ZTI</t>
  </si>
  <si>
    <t>Celkem 1:</t>
  </si>
  <si>
    <t>Celkem 2:</t>
  </si>
  <si>
    <t>Cena celkem /CZK/ bez DPH</t>
  </si>
  <si>
    <t>DPH  21%</t>
  </si>
  <si>
    <t>Konečná cena /CZK/ vč. DPH</t>
  </si>
  <si>
    <t>Investor:</t>
  </si>
  <si>
    <t>Objekt:</t>
  </si>
  <si>
    <t>SO1 - Společné toalety 1.NP</t>
  </si>
  <si>
    <t>Profese:</t>
  </si>
  <si>
    <t>Poř. č.</t>
  </si>
  <si>
    <t>Označení/Výkres č.</t>
  </si>
  <si>
    <t>Popis, druh</t>
  </si>
  <si>
    <t>Jednotka</t>
  </si>
  <si>
    <t>Množství</t>
  </si>
  <si>
    <t>Jedn. cena (CZK)</t>
  </si>
  <si>
    <t xml:space="preserve">Cena (CZK) </t>
  </si>
  <si>
    <t>Poznámka:</t>
  </si>
  <si>
    <t>a) součásti prací jsou veškeré zkoušky, potřebná měření, inspekce, uvedení zařízení do provozu, zaškolení obsluhy, provozní řády, manuály a revize v Českém jazyce. Za komplexní vyzkoušení se považuje bezporuchový provoz po dobu minimálně 96 hod.</t>
  </si>
  <si>
    <t>b) součástí dodávky je zpracování veškeré dílenské dokumentace a podkladů pro dokumentaci skutečného provedení</t>
  </si>
  <si>
    <t>c) součástí dodávky je kompletní dokladová část díla nutná k získání kolaudačního souhlasu stavby</t>
  </si>
  <si>
    <t>d) v rozsahu prací zhotovitele jsou rovněž jakékoliv prvky, zařízení, práce a pomocné materiály, neuvedené v tomto soupisu výkonů, které jsou ale nezbytně nutné k dodání, instalaci, dokončení a provozování díla (např. požární ucpávky, štítky pro řádné a trvalé značení komponent, zařízení a potrubní  závěsy,</t>
  </si>
  <si>
    <t>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t>
  </si>
  <si>
    <t>e) součástí dodávky jsou veškerá geodetická měření jako například vytyčení konstrukcí, kontrolní měření, zaměření skutečného stavu apod.</t>
  </si>
  <si>
    <t>f) součástí dodávky jsou i náklady na případně  opatření související s ochranou stávajících sítí, komunikací či staveb</t>
  </si>
  <si>
    <t>g) součástí jednotkových cen jsou i vícenáklady související s výstavbou v zimním období, průběžný úklid staveniště a přilehlých komunikací, likvidaci odpadů, dočasná dopravní omezení atd.</t>
  </si>
  <si>
    <t>REKAPITULACE</t>
  </si>
  <si>
    <t xml:space="preserve">
</t>
  </si>
  <si>
    <t>CELKEM SOUPIS VÝKONŮ</t>
  </si>
  <si>
    <t xml:space="preserve">J.hmotnost </t>
  </si>
  <si>
    <t>Hmotnost celkem</t>
  </si>
  <si>
    <t>J.suť</t>
  </si>
  <si>
    <t>Suť celkem</t>
  </si>
  <si>
    <t>1</t>
  </si>
  <si>
    <t>Bourací a zemní práce</t>
  </si>
  <si>
    <t>1.1</t>
  </si>
  <si>
    <t>m2</t>
  </si>
  <si>
    <t>1.2</t>
  </si>
  <si>
    <t>965045113</t>
  </si>
  <si>
    <t>Bourání potěrů tl. do 50 mm cementových nebo pískocementových, plochy přes 4 m2</t>
  </si>
  <si>
    <t>1.3</t>
  </si>
  <si>
    <t>965042141</t>
  </si>
  <si>
    <t>m3</t>
  </si>
  <si>
    <t>1.4</t>
  </si>
  <si>
    <t>965049111</t>
  </si>
  <si>
    <t>Bourání mazanin příplatek k cenám za bourání mazanin betonových se svařovanou sítí, tl. do 100 mm</t>
  </si>
  <si>
    <t>1.5</t>
  </si>
  <si>
    <t>Odstranění izolace proti zemní vlhkosti vodorovné</t>
  </si>
  <si>
    <t>1.6</t>
  </si>
  <si>
    <t>965082933</t>
  </si>
  <si>
    <t>Odstranění násypu pod podlahami nebo ochranného násypu na střechách tl. do 200 mm, plochy přes 2 m2</t>
  </si>
  <si>
    <t>1.7</t>
  </si>
  <si>
    <t>Vysekání výklenků ve zdivu cihelném na MV nebo MVC pl.přes 0,25 m2</t>
  </si>
  <si>
    <t>1.8</t>
  </si>
  <si>
    <t>1.9</t>
  </si>
  <si>
    <t>978059541</t>
  </si>
  <si>
    <t>1.10</t>
  </si>
  <si>
    <t>978013191</t>
  </si>
  <si>
    <t>997</t>
  </si>
  <si>
    <t>Přesun sutě</t>
  </si>
  <si>
    <t>1.11</t>
  </si>
  <si>
    <t>997221611</t>
  </si>
  <si>
    <t>Nakládání na dopravní prostředky pro vodorovnou dopravu suti</t>
  </si>
  <si>
    <t>t</t>
  </si>
  <si>
    <t>1.12</t>
  </si>
  <si>
    <t>997013501</t>
  </si>
  <si>
    <t>Odvoz suti a vybouraných hmot na skládku nebo meziskládku se složením, na vzdálenost do 1 km</t>
  </si>
  <si>
    <t>1.13</t>
  </si>
  <si>
    <t>997013509</t>
  </si>
  <si>
    <t>Odvoz suti a vybouraných hmot na skládku nebo meziskládku se složením, na vzdálenost Příplatek k ceně za každý další i započatý 1 km přes 1 km</t>
  </si>
  <si>
    <t>1.14</t>
  </si>
  <si>
    <t>Poplatek za uložení stavebního odpadu na recyklační skládce  (skládkovné) z armovaného betonu kod odpadu 17 01 01</t>
  </si>
  <si>
    <t>1.15</t>
  </si>
  <si>
    <t>Poplatek za uložení stavebního odpadu na recyklační skládce  (skládkovné) cihelného kód odpadu 17 01 02</t>
  </si>
  <si>
    <t>1.16</t>
  </si>
  <si>
    <t>1.17</t>
  </si>
  <si>
    <t>122211101</t>
  </si>
  <si>
    <t>Odkopávky a prokopávky ručně zapažené i nezapažené v hornině třídy těžitelnosti I skupiny 3</t>
  </si>
  <si>
    <t>22,1*0,125+8,0*3,3*0,1</t>
  </si>
  <si>
    <t>1.18</t>
  </si>
  <si>
    <t>162211311</t>
  </si>
  <si>
    <t>1.19</t>
  </si>
  <si>
    <t>162211319</t>
  </si>
  <si>
    <t>1.20</t>
  </si>
  <si>
    <t>167111101</t>
  </si>
  <si>
    <t>1.21</t>
  </si>
  <si>
    <t>162751117</t>
  </si>
  <si>
    <t>Vodorovné přemístění do 10000 m výkopku/sypaniny z horniny třídy těžitelnosti I, skupiny 1 až 3</t>
  </si>
  <si>
    <t>4</t>
  </si>
  <si>
    <t>K</t>
  </si>
  <si>
    <t>2</t>
  </si>
  <si>
    <t>ROZPOCET</t>
  </si>
  <si>
    <t>-1546825122</t>
  </si>
  <si>
    <t>1.22</t>
  </si>
  <si>
    <t>171251201</t>
  </si>
  <si>
    <t>Uložení sypaniny na skládky nebo meziskládky</t>
  </si>
  <si>
    <t>181800758</t>
  </si>
  <si>
    <t>1.23</t>
  </si>
  <si>
    <t>171201231</t>
  </si>
  <si>
    <t>1017999584</t>
  </si>
  <si>
    <t>VV</t>
  </si>
  <si>
    <t>True</t>
  </si>
  <si>
    <t>0</t>
  </si>
  <si>
    <t>CELKEM</t>
  </si>
  <si>
    <t>Svislé a kompletní konstrukce</t>
  </si>
  <si>
    <t>2.1</t>
  </si>
  <si>
    <t>m</t>
  </si>
  <si>
    <t>2.2</t>
  </si>
  <si>
    <t>Příčka z pórobetonových hladkých tvárnic na tenkovrstvou maltu tl 100 mm</t>
  </si>
  <si>
    <t>2.3</t>
  </si>
  <si>
    <t>Zazdívka otvorů pl.do 4 m2 ve zdivu nadzákladovém z nepálených tvárnic</t>
  </si>
  <si>
    <t>3</t>
  </si>
  <si>
    <t xml:space="preserve">Úpravy povrchů, stěny, stropy, podlahy </t>
  </si>
  <si>
    <t>3.1</t>
  </si>
  <si>
    <t>3.2</t>
  </si>
  <si>
    <t>3.3</t>
  </si>
  <si>
    <t>3.4</t>
  </si>
  <si>
    <t>3.5</t>
  </si>
  <si>
    <t>3.6</t>
  </si>
  <si>
    <t>3.7</t>
  </si>
  <si>
    <t>3.8</t>
  </si>
  <si>
    <t>3.9</t>
  </si>
  <si>
    <t>Potažení vnitřních stěn sklovláknitým pletivem vtlačeným do tenkovrstvé hmoty</t>
  </si>
  <si>
    <t>3.10</t>
  </si>
  <si>
    <t>Potažení vnitřních stěn vápenným štukem tl. do 3 mm</t>
  </si>
  <si>
    <t>Podlahy</t>
  </si>
  <si>
    <t>3.11</t>
  </si>
  <si>
    <t>3.12</t>
  </si>
  <si>
    <t>3.13</t>
  </si>
  <si>
    <t>8</t>
  </si>
  <si>
    <t>3.14</t>
  </si>
  <si>
    <t>3.15</t>
  </si>
  <si>
    <t>631362021</t>
  </si>
  <si>
    <t>3.16</t>
  </si>
  <si>
    <t>632451254</t>
  </si>
  <si>
    <t>3.17</t>
  </si>
  <si>
    <t>632451293</t>
  </si>
  <si>
    <t>3.18</t>
  </si>
  <si>
    <t>Výztuž mazanin  ze svařovaných sítí z drátů typu KARI   8/100x100 mm</t>
  </si>
  <si>
    <t>3.19</t>
  </si>
  <si>
    <t>634112115</t>
  </si>
  <si>
    <t>Obvodová dilatace mezi stěnou a mazaninou nebo potěrem podlahovým páskem z pěnového PE tl. do 10 mm, výšky 150 mm</t>
  </si>
  <si>
    <t>Podhledy</t>
  </si>
  <si>
    <t>3.20</t>
  </si>
  <si>
    <t>Osazování výplní</t>
  </si>
  <si>
    <t>Výplně otvorů - dodávka a montáž</t>
  </si>
  <si>
    <t>4.1</t>
  </si>
  <si>
    <t>D-01</t>
  </si>
  <si>
    <t>ks</t>
  </si>
  <si>
    <t>4.2</t>
  </si>
  <si>
    <t>D-02a</t>
  </si>
  <si>
    <t>kpl</t>
  </si>
  <si>
    <t>4.3</t>
  </si>
  <si>
    <t>D-02b</t>
  </si>
  <si>
    <t>4.4</t>
  </si>
  <si>
    <t>D-03</t>
  </si>
  <si>
    <t>5</t>
  </si>
  <si>
    <t>Přesun hmot</t>
  </si>
  <si>
    <t>5.1</t>
  </si>
  <si>
    <t>998011002</t>
  </si>
  <si>
    <t>6</t>
  </si>
  <si>
    <t>6.1</t>
  </si>
  <si>
    <t>6.2</t>
  </si>
  <si>
    <t>6.3</t>
  </si>
  <si>
    <t>6.4</t>
  </si>
  <si>
    <t>kus</t>
  </si>
  <si>
    <t>6.5</t>
  </si>
  <si>
    <t>632481213</t>
  </si>
  <si>
    <t>6.6</t>
  </si>
  <si>
    <t>711191201</t>
  </si>
  <si>
    <t>6.7</t>
  </si>
  <si>
    <t>kg</t>
  </si>
  <si>
    <t>6.8</t>
  </si>
  <si>
    <t>7</t>
  </si>
  <si>
    <t>Izolace tepelné</t>
  </si>
  <si>
    <t>7.1</t>
  </si>
  <si>
    <t>713121121</t>
  </si>
  <si>
    <t>7.2</t>
  </si>
  <si>
    <t>28376380</t>
  </si>
  <si>
    <t>7.3</t>
  </si>
  <si>
    <t>998713102</t>
  </si>
  <si>
    <t>Podlahy z dlaždic</t>
  </si>
  <si>
    <t>8.1</t>
  </si>
  <si>
    <t>8.2</t>
  </si>
  <si>
    <t>8.3</t>
  </si>
  <si>
    <t>8.4</t>
  </si>
  <si>
    <t>998771102</t>
  </si>
  <si>
    <t>9</t>
  </si>
  <si>
    <t>9.1</t>
  </si>
  <si>
    <t>9.2</t>
  </si>
  <si>
    <t>781131112</t>
  </si>
  <si>
    <t>9.3</t>
  </si>
  <si>
    <t>9.4</t>
  </si>
  <si>
    <t>9.5</t>
  </si>
  <si>
    <t>9.6</t>
  </si>
  <si>
    <t>9.7</t>
  </si>
  <si>
    <t>998781102</t>
  </si>
  <si>
    <t>784</t>
  </si>
  <si>
    <t>9.8</t>
  </si>
  <si>
    <t>9.9</t>
  </si>
  <si>
    <t>9.10</t>
  </si>
  <si>
    <t>9.11</t>
  </si>
  <si>
    <t>784171101</t>
  </si>
  <si>
    <t>Zakrytí nemalovaných ploch (materiál ve specifikaci) včetně pozdějšího odkrytí podlah</t>
  </si>
  <si>
    <t>9.12</t>
  </si>
  <si>
    <t>784171111</t>
  </si>
  <si>
    <t>Zakrytí nemalovaných ploch (materiál ve specifikaci) včetně pozdějšího odkrytí svislých ploch např. stěn, oken, dveří v místnostech výšky do 3,80</t>
  </si>
  <si>
    <t>9.13</t>
  </si>
  <si>
    <t>58124842</t>
  </si>
  <si>
    <t>fólie pro malířské potřeby zakrývací tl 7µ 4x5m</t>
  </si>
  <si>
    <t>9.14</t>
  </si>
  <si>
    <t>784181001</t>
  </si>
  <si>
    <t>Pačokování jednonásobné v místnostech výšky do 3,80 m</t>
  </si>
  <si>
    <t>9.15</t>
  </si>
  <si>
    <t>784181111</t>
  </si>
  <si>
    <t>Penetrace podkladu jednonásobná základní silikátová v místnostech výšky do 3,80 m</t>
  </si>
  <si>
    <t>9.16</t>
  </si>
  <si>
    <t>784331001</t>
  </si>
  <si>
    <t>10</t>
  </si>
  <si>
    <t>Ostatní  práce a dodávky</t>
  </si>
  <si>
    <t>10.1</t>
  </si>
  <si>
    <t>SDK s nosnou  konstrukcí z ocelových profilů CW, UW, jednoduše opláštěná deskou standardní A tl.12,5 mm bez izolace  -  protiprašné opatření</t>
  </si>
  <si>
    <t>10.2</t>
  </si>
  <si>
    <t>Demontáž SDK - protiprašné opatření</t>
  </si>
  <si>
    <t>10.3</t>
  </si>
  <si>
    <t>784191001</t>
  </si>
  <si>
    <t>Čištění vnitřních ploch hrubý úklid po provedení malířských prací omytím oken nebo balkonových dveří jednoduchých</t>
  </si>
  <si>
    <t>10.4</t>
  </si>
  <si>
    <t>784191007</t>
  </si>
  <si>
    <t>Čištění vnitřních ploch hrubý úklid po provedení malířských prací omytím podlah</t>
  </si>
  <si>
    <t>10.5</t>
  </si>
  <si>
    <t>622R</t>
  </si>
  <si>
    <t>Stavební přípomoce pro řemesla - HZS</t>
  </si>
  <si>
    <t>hod</t>
  </si>
  <si>
    <t>10.6</t>
  </si>
  <si>
    <t>Lešení pomocné pro objekty pozemních staveb s lešeňovou podlahou v.do 1,9 m</t>
  </si>
  <si>
    <t>10.7</t>
  </si>
  <si>
    <t xml:space="preserve">Jiné materiály, montáž, atd., neuvedené výše, ale které je nutné zahrnout do celkového rozsahu prací podle výkresů a praxe dodavatele. Prosím, uveďte podrobný technický popis a cenovou kalkulaci. </t>
  </si>
  <si>
    <t>b) součásti prací jsou veškeré zkoušky, potřebná měření, inspekce, uvedení zařízení do provozu, zaškolení obsluhy, provozní řády, manuály a revize v Českém jazyce. Za komplexní vyzkoušení se považuje bezporuchový provoz po dobu minimálně 96 hod.</t>
  </si>
  <si>
    <t>c) součástí dodávky je zpracování veškeré dílenské dokumentace a podkladů pro dokumentaci skutečného provedení</t>
  </si>
  <si>
    <t>d) součástí dodávky je kompletní dokladová část díla nutná k získání kolaudačního souhlasu stavby</t>
  </si>
  <si>
    <t>e) v rozsahu prací zhotovitele jsou rovněž jakékoliv prvky, zařízení, práce a pomocné materiály, neuvedené v tomto soupisu výkonů, které jsou ale nezbytně nutné k dodání, instalaci, dokončení a provozování díla (např. požární ucpávky, štítky pro řádné a trvalé značení komponent, zařízení a potrubní  závěsy,</t>
  </si>
  <si>
    <t>f) součástí dodávky jsou veškerá geodetická měření jako například vytyčení konstrukcí, kontrolní měření, zaměření skutečného stavu apod.</t>
  </si>
  <si>
    <t>g) součástí dodávky jsou i náklady na případně  opatření související s ochranou stávajících sítí, komunikací či staveb</t>
  </si>
  <si>
    <t>h) součástí jednotkových cen jsou i vícenáklady související s výstavbou v zimním období, průběžný úklid staveniště a přilehlých komunikací, likvidaci odpadů, dočasná dopravní omezení atd.</t>
  </si>
  <si>
    <t>Bourací  práce</t>
  </si>
  <si>
    <t>R01</t>
  </si>
  <si>
    <t xml:space="preserve">Vyklizení mobiliáře stávajícího provozu restaurace, vč.odborného odpojení výčepu od technologií. Mobiliář a doplňky interiéru budou deponovány v investorem určeném prostoru v rámci areálu objektu pro druhotné použití.
</t>
  </si>
  <si>
    <t>Demontáž truhlářského obložení stěn z palubek</t>
  </si>
  <si>
    <t>Poplatek za uložení stavebního odpadu  směsného (skládkovné) pod kódem 17 09 04</t>
  </si>
  <si>
    <t>Svislé konstrukce</t>
  </si>
  <si>
    <t>Oprava vnitřní vápenocementové štukové omítky stěn v rozsahu plochy do 30%</t>
  </si>
  <si>
    <t>Sádrová stěrka tl.do 3 mm vnitřních stěn</t>
  </si>
  <si>
    <t>0,95*1,2</t>
  </si>
  <si>
    <t>775</t>
  </si>
  <si>
    <t>D-04</t>
  </si>
  <si>
    <t>D-05</t>
  </si>
  <si>
    <t>763</t>
  </si>
  <si>
    <t>5.2</t>
  </si>
  <si>
    <t>5.3</t>
  </si>
  <si>
    <t>766</t>
  </si>
  <si>
    <t>Konstrukce truhlářské</t>
  </si>
  <si>
    <t>Nátěr penetrační na podlahu ( beton)</t>
  </si>
  <si>
    <t>775591311</t>
  </si>
  <si>
    <t>Podlahy dřevěné, základní lak</t>
  </si>
  <si>
    <t>775591314</t>
  </si>
  <si>
    <t>Podlahy dřevěné, vrchní lak pro velmi vysokou zátěž</t>
  </si>
  <si>
    <t>775591316</t>
  </si>
  <si>
    <t>Podlahy dřevěné, mezibroušení mezi vrstvami laku</t>
  </si>
  <si>
    <t>998775102</t>
  </si>
  <si>
    <t>Přesun hmot tonážní pro podlahy dřevěné v objektech v do 12 m</t>
  </si>
  <si>
    <t>Malby</t>
  </si>
  <si>
    <t>7.4</t>
  </si>
  <si>
    <t>7.5</t>
  </si>
  <si>
    <t>7.6</t>
  </si>
  <si>
    <t>7.7</t>
  </si>
  <si>
    <t>7.8</t>
  </si>
  <si>
    <t>7.9</t>
  </si>
  <si>
    <t>7.10</t>
  </si>
  <si>
    <t>8.5</t>
  </si>
  <si>
    <t>8.6</t>
  </si>
  <si>
    <t>A</t>
  </si>
  <si>
    <t>Stávající dřevěný výčep s policemi - demontovat vč.technologie</t>
  </si>
  <si>
    <t>Demontáž lepených povlakových podlah bez podložky ručně</t>
  </si>
  <si>
    <t xml:space="preserve">Úpravy povrchů </t>
  </si>
  <si>
    <t>2.4</t>
  </si>
  <si>
    <t>Akustický obklad stávající stěny do úrovně +3,000 
z toho:</t>
  </si>
  <si>
    <t>Svislý nosný kovový systémový rošt</t>
  </si>
  <si>
    <t>(Protipožární povrchová úprava matný transparentní lak)</t>
  </si>
  <si>
    <t>2.5</t>
  </si>
  <si>
    <t>Obklad stávající stěny od úrovně +3,000 do +6,900
z toho:</t>
  </si>
  <si>
    <t>2.6</t>
  </si>
  <si>
    <t>Akustický obklad stávajících sloupů do úrovně +3,000
z toho:</t>
  </si>
  <si>
    <t>Součástí je 10ks mantinelu mezi sloupy, HDF deska 3200x800mm</t>
  </si>
  <si>
    <t>2.7</t>
  </si>
  <si>
    <t>Kryt radiátoru</t>
  </si>
  <si>
    <t>čelní zakrytí z dubových hranůlků</t>
  </si>
  <si>
    <t>2.8</t>
  </si>
  <si>
    <t>vodorovný parapet</t>
  </si>
  <si>
    <t xml:space="preserve">m </t>
  </si>
  <si>
    <t>2.9</t>
  </si>
  <si>
    <t>2.10</t>
  </si>
  <si>
    <t>2.11</t>
  </si>
  <si>
    <t>2.12</t>
  </si>
  <si>
    <t>2.13</t>
  </si>
  <si>
    <t>2.14</t>
  </si>
  <si>
    <t>2.15</t>
  </si>
  <si>
    <t>2.16</t>
  </si>
  <si>
    <t>2.17</t>
  </si>
  <si>
    <t>D 06a</t>
  </si>
  <si>
    <t>D 07</t>
  </si>
  <si>
    <t>R 01</t>
  </si>
  <si>
    <t>R 02</t>
  </si>
  <si>
    <t xml:space="preserve">Nová opona jeviště, řešena jako látkový akustický závěs z těžkého sametu s protipožární úpravou, zavěšen na kolejnici s elektro-mechanickým pohonem. </t>
  </si>
  <si>
    <t>R 03</t>
  </si>
  <si>
    <t>Zadní a boční stěny podia řešeny jako látkový akustický závěs z těžkého sametu s protipožární úpravou, zavěšen na kolejnici.</t>
  </si>
  <si>
    <t>R 04</t>
  </si>
  <si>
    <t>Podlahy skládané</t>
  </si>
  <si>
    <t>Oprava podlah dřevěných  - broušení celkové vč.tmelení</t>
  </si>
  <si>
    <t>5.4</t>
  </si>
  <si>
    <t>5.5</t>
  </si>
  <si>
    <t>5.6</t>
  </si>
  <si>
    <t>5.7</t>
  </si>
  <si>
    <t>5.8</t>
  </si>
  <si>
    <t>Podlahy povlakové</t>
  </si>
  <si>
    <t>Přesun hmot tonážní pro podlahy z dlaždic v objektech v do 12 m</t>
  </si>
  <si>
    <t>8.7</t>
  </si>
  <si>
    <t>8.8</t>
  </si>
  <si>
    <t xml:space="preserve">Ostatní </t>
  </si>
  <si>
    <t>Bourací práce</t>
  </si>
  <si>
    <t>Bourání mazanin betonových nebo z litého asfaltu tl. přes100 mm, plochy přes 4 m2</t>
  </si>
  <si>
    <t>Bourání mazanin příplatek k cenám za bourání mazanin betonových se svařovanou sítí, tl. přes 100 mm</t>
  </si>
  <si>
    <t>Dokončovací práce - malby</t>
  </si>
  <si>
    <t>8.9</t>
  </si>
  <si>
    <t>Ostatní práce a dodávky</t>
  </si>
  <si>
    <t>R02</t>
  </si>
  <si>
    <t>Ostatní náklady</t>
  </si>
  <si>
    <t>Silnoproudá elektroinstalace</t>
  </si>
  <si>
    <t>Kabely a trubky</t>
  </si>
  <si>
    <t xml:space="preserve">CYKY-O 2x1,5 </t>
  </si>
  <si>
    <t xml:space="preserve">CYKY-J 3x1,5 </t>
  </si>
  <si>
    <t xml:space="preserve">CYKY-J 3x2,5 </t>
  </si>
  <si>
    <t>Instalační materiál</t>
  </si>
  <si>
    <t>Osvětlení</t>
  </si>
  <si>
    <t>A2</t>
  </si>
  <si>
    <t>A3</t>
  </si>
  <si>
    <t>A4</t>
  </si>
  <si>
    <t>A5</t>
  </si>
  <si>
    <t>A6</t>
  </si>
  <si>
    <t>A7</t>
  </si>
  <si>
    <t>N1D</t>
  </si>
  <si>
    <t>N2D</t>
  </si>
  <si>
    <t>N3</t>
  </si>
  <si>
    <t>4.5</t>
  </si>
  <si>
    <t>4.6</t>
  </si>
  <si>
    <t>4.7</t>
  </si>
  <si>
    <t>4.8</t>
  </si>
  <si>
    <t>4.9</t>
  </si>
  <si>
    <t>řadová svorka</t>
  </si>
  <si>
    <t>Doprava na stavbu</t>
  </si>
  <si>
    <t>Hmoždinky, hřebíky, nástroje, sádra, šrouby, vruty, atd.</t>
  </si>
  <si>
    <t>Ukončení veškeré výše uvedené kabeláže</t>
  </si>
  <si>
    <t>Průrazy všeobecně</t>
  </si>
  <si>
    <t>5.9</t>
  </si>
  <si>
    <t>5.10</t>
  </si>
  <si>
    <t>Drážky + omítka</t>
  </si>
  <si>
    <t>5.11</t>
  </si>
  <si>
    <t>Stavební přípomocné práce, stavební připravenost</t>
  </si>
  <si>
    <t>5.12</t>
  </si>
  <si>
    <t xml:space="preserve">Drobný nespecifikovaný a montážní materiál </t>
  </si>
  <si>
    <t>5.13</t>
  </si>
  <si>
    <t>Protipožární utěsnění prostupů</t>
  </si>
  <si>
    <t>5.14</t>
  </si>
  <si>
    <t>Zaškolení obsluhy</t>
  </si>
  <si>
    <t>Projekt skutečného provedení</t>
  </si>
  <si>
    <t>Kolaudační podklady</t>
  </si>
  <si>
    <t>Značící štítky technologie</t>
  </si>
  <si>
    <t>Revize elektroinstalace</t>
  </si>
  <si>
    <t>Autorský dozor</t>
  </si>
  <si>
    <t>A.1</t>
  </si>
  <si>
    <t>Zdravotně technické instalace</t>
  </si>
  <si>
    <t>Kanalizace</t>
  </si>
  <si>
    <t>Potrubí vnitřní kanalizace</t>
  </si>
  <si>
    <t>Potrubí z materiálu PPs (PVC-HT) se zvýšeným útlumem hluku. Potrubí včetně montáže, tvarovek, závěsů a spojovacího materiálu.</t>
  </si>
  <si>
    <t>Tlakové a funkční zkoušky potrubí</t>
  </si>
  <si>
    <t>sada</t>
  </si>
  <si>
    <t>Vodovod</t>
  </si>
  <si>
    <t>Zařizovací přeměty</t>
  </si>
  <si>
    <t>U</t>
  </si>
  <si>
    <t>WC</t>
  </si>
  <si>
    <t>Pi</t>
  </si>
  <si>
    <t>2.18</t>
  </si>
  <si>
    <t>2.19</t>
  </si>
  <si>
    <t>2.20</t>
  </si>
  <si>
    <t>2.21</t>
  </si>
  <si>
    <t>2.22</t>
  </si>
  <si>
    <t>11</t>
  </si>
  <si>
    <t>11.1</t>
  </si>
  <si>
    <t>11.2</t>
  </si>
  <si>
    <t>11.3</t>
  </si>
  <si>
    <t>11.4</t>
  </si>
  <si>
    <t>11.5</t>
  </si>
  <si>
    <t>11.6</t>
  </si>
  <si>
    <t>11.7</t>
  </si>
  <si>
    <t xml:space="preserve">CYKY-O 2x2,5 </t>
  </si>
  <si>
    <t xml:space="preserve">CYKY-O 3x1,5 </t>
  </si>
  <si>
    <t>CYKY-J 4x16</t>
  </si>
  <si>
    <t>CYKY-J 5x1,5</t>
  </si>
  <si>
    <t>CYKY-J 5x2,5</t>
  </si>
  <si>
    <t>CYKY-J 5x4</t>
  </si>
  <si>
    <t>CYKY-J 5x6</t>
  </si>
  <si>
    <t>CYKY-J 5x10</t>
  </si>
  <si>
    <t>CYKY-J 5x16</t>
  </si>
  <si>
    <t>CYSY 2x0,75</t>
  </si>
  <si>
    <t>CYSY 3x0,75</t>
  </si>
  <si>
    <t xml:space="preserve">CYSY 5x0,75 </t>
  </si>
  <si>
    <t>CY 10 zž</t>
  </si>
  <si>
    <t>CY 6 zž</t>
  </si>
  <si>
    <t>JYTY 2x1</t>
  </si>
  <si>
    <t>JYTY 7x1</t>
  </si>
  <si>
    <t>J-Y(ST)Y 2x2x0.6</t>
  </si>
  <si>
    <t>SYKFY 2x2x0,5</t>
  </si>
  <si>
    <t>trubka D20, střední mechanická odolnost</t>
  </si>
  <si>
    <t>trubka D40, střední mechanická odolnost</t>
  </si>
  <si>
    <t>Spínač č. 1</t>
  </si>
  <si>
    <t>Spínač č. 5</t>
  </si>
  <si>
    <t>Spínač č. 6</t>
  </si>
  <si>
    <t>Spínač č. 7</t>
  </si>
  <si>
    <t>Spínač č. 1/0</t>
  </si>
  <si>
    <t>Ovladač žaluziový</t>
  </si>
  <si>
    <t>Zásuvka jednoduchá 230V</t>
  </si>
  <si>
    <t>Zásuvka jednoduchá 230V se svodičem přepětí T3</t>
  </si>
  <si>
    <t>Spínač č. 1 IP44</t>
  </si>
  <si>
    <t>Spínač č. 6 IP44</t>
  </si>
  <si>
    <t>Zásuvka 230V IP44</t>
  </si>
  <si>
    <t>Zásuvka 400V/16A IP44</t>
  </si>
  <si>
    <t>Zásuvka 400V/32A IP44</t>
  </si>
  <si>
    <t>Zásuvka jednoduchá 230V, na povrch</t>
  </si>
  <si>
    <t>Přístrojová krabice</t>
  </si>
  <si>
    <t>Přístrojová krabice hl. 66 mm</t>
  </si>
  <si>
    <t>Detektor pohybu infrapasivní stropní</t>
  </si>
  <si>
    <t>Total stop kuchyně - Průmyslové bezpečnostní STOP tlačítko</t>
  </si>
  <si>
    <t>Podlahová zásuvková krabice - 4x Z230V, 1x T3, 1x datová dvojzásuvka</t>
  </si>
  <si>
    <t>Podlahová zásuvková krabice - 4x Z230V, 1x datová dvojzásuvka</t>
  </si>
  <si>
    <t>Ekvipotenciální svorkovnice ochranného pospojování, v krabici 250x250, pod omítku, s víčkem</t>
  </si>
  <si>
    <t>Ekvipotenciální svorkovnice ochranného pospojování, v krabici 125, na povrch</t>
  </si>
  <si>
    <t>Signalizace pro WC-invalidé</t>
  </si>
  <si>
    <t>Spínač 1/0 IP44 se symbolem zvonku</t>
  </si>
  <si>
    <t>Zvonek nástěnný</t>
  </si>
  <si>
    <t>Svodič přepětí T1+T2 v převlečném krytu</t>
  </si>
  <si>
    <t>ohřev žlabů - topný kabel do dešťových svodů a žlabů, 30W/m, délka 20 metrů</t>
  </si>
  <si>
    <t>ohřev žlabů - topný kabel do dešťových svodů a žlabů, 30W/m, délka 50 metrů</t>
  </si>
  <si>
    <t>ohřev žlabů - řetěz do svodu, mrazuvzdorný plast, délka 5 metrů, s příchytkou</t>
  </si>
  <si>
    <t>ohřev žlabů - příchytka pro topný kabel, mrazuvzdorný plast</t>
  </si>
  <si>
    <t>2.23</t>
  </si>
  <si>
    <t>2.24</t>
  </si>
  <si>
    <t>2.25</t>
  </si>
  <si>
    <t>2.26</t>
  </si>
  <si>
    <t>2.27</t>
  </si>
  <si>
    <t>2.28</t>
  </si>
  <si>
    <t>2.29</t>
  </si>
  <si>
    <t>2.30</t>
  </si>
  <si>
    <t>2.31</t>
  </si>
  <si>
    <t>2.32</t>
  </si>
  <si>
    <t>2.33</t>
  </si>
  <si>
    <t>Rozvaděč R.OÚ</t>
  </si>
  <si>
    <t>rozvaděč pod omítku, oceloplechový, min. 200 modulů</t>
  </si>
  <si>
    <t>hlavní vypínač 3x100A</t>
  </si>
  <si>
    <t>svodič přepětí T1+T2</t>
  </si>
  <si>
    <t>jistič 40B/3</t>
  </si>
  <si>
    <t>jistič 32B/3</t>
  </si>
  <si>
    <t>jistič 20B/3</t>
  </si>
  <si>
    <t>jistič 16C/3</t>
  </si>
  <si>
    <t>jistič 16C/1</t>
  </si>
  <si>
    <t>jistič 16B/1</t>
  </si>
  <si>
    <t>jistič 10C/1</t>
  </si>
  <si>
    <t>jistič 10B/1</t>
  </si>
  <si>
    <t>jistič 6B/1</t>
  </si>
  <si>
    <t>proudový chránič 25/4/0,03</t>
  </si>
  <si>
    <t>proudový chránič 100/4/0,03</t>
  </si>
  <si>
    <t>spínací hodiny dvoukanálové, s astroprogramem</t>
  </si>
  <si>
    <t>regulátor pro ovládání topných kabel (ohřev dešťových žlabů), včetně externích čidel teploty a sněhu+ledu</t>
  </si>
  <si>
    <t>stykač 25A, 230V, 4x spínací kontakt</t>
  </si>
  <si>
    <t>4.10</t>
  </si>
  <si>
    <t>4.11</t>
  </si>
  <si>
    <t>4.12</t>
  </si>
  <si>
    <t>4.13</t>
  </si>
  <si>
    <t>4.14</t>
  </si>
  <si>
    <t>4.15</t>
  </si>
  <si>
    <t>4.16</t>
  </si>
  <si>
    <t>4.17</t>
  </si>
  <si>
    <t>4.18</t>
  </si>
  <si>
    <t>Rozvaděč R.kotelna+sklad</t>
  </si>
  <si>
    <t>rozvaděč na povrch, min. IP44, oceloplechový, min. 100 modulů</t>
  </si>
  <si>
    <t>hlavní vypínač 3x80A</t>
  </si>
  <si>
    <t>jistič 16B/3</t>
  </si>
  <si>
    <t>jistič 10B/3</t>
  </si>
  <si>
    <t>kombinovaný chránič s nadproudovou ochranou 10B/1N/0,03</t>
  </si>
  <si>
    <t>stykač 20A, 230V, 2x spínací kontakt</t>
  </si>
  <si>
    <t>Rozvaděč R.jeviště</t>
  </si>
  <si>
    <t>rozvaděč pod omítku, plastový, min. 50 modulů</t>
  </si>
  <si>
    <t>hlavní vypínač 3x63A</t>
  </si>
  <si>
    <t>proudový chránič 63/4/0,03</t>
  </si>
  <si>
    <t>Rozvaděč R.restaurace</t>
  </si>
  <si>
    <t>rozvaděč pod omítku, min. IP44, oceloplechový, min. 180 modulů</t>
  </si>
  <si>
    <t>jistič 40B/3 s podpěťovou spouští</t>
  </si>
  <si>
    <t>jistič 2B/1</t>
  </si>
  <si>
    <t>zvonkový transformátor 230V/6V</t>
  </si>
  <si>
    <t>Ochrana před bleskem</t>
  </si>
  <si>
    <t>AlMgSi 8</t>
  </si>
  <si>
    <t>AlMgSi 8/11 PVC</t>
  </si>
  <si>
    <t>FeZn ø10</t>
  </si>
  <si>
    <t>Zemnící tyče FeZn včetně připojovacího pásku</t>
  </si>
  <si>
    <t>Svorka zkušební v zapuštěné krabici</t>
  </si>
  <si>
    <t>Štítek svodu</t>
  </si>
  <si>
    <t>Svorka spojovací</t>
  </si>
  <si>
    <t>Svorka okapová</t>
  </si>
  <si>
    <t>Podpěra vedení na krytinu</t>
  </si>
  <si>
    <t>Podpěra vedení na hřeben</t>
  </si>
  <si>
    <t>Podpěra svislých svodů</t>
  </si>
  <si>
    <t>Jímací tyč AlMgSi 1m, včetně podstavce na hřebenáče</t>
  </si>
  <si>
    <t>Jímací tyč AlMgSi 2m, včetně podpěry</t>
  </si>
  <si>
    <t>Montáž včetně svítidel</t>
  </si>
  <si>
    <t>Demontáž a likvidace části stávající elektroinstalace</t>
  </si>
  <si>
    <t>Úprava stávající elektroinstalace</t>
  </si>
  <si>
    <t>7.11</t>
  </si>
  <si>
    <t>7.12</t>
  </si>
  <si>
    <t>7.13</t>
  </si>
  <si>
    <t>7.14</t>
  </si>
  <si>
    <t>7.15</t>
  </si>
  <si>
    <t>7.16</t>
  </si>
  <si>
    <t>8.10</t>
  </si>
  <si>
    <t>8.11</t>
  </si>
  <si>
    <t>8.12</t>
  </si>
  <si>
    <t>8.13</t>
  </si>
  <si>
    <t>9.17</t>
  </si>
  <si>
    <t>9.18</t>
  </si>
  <si>
    <t>Slaboproudá elektroinstalace</t>
  </si>
  <si>
    <r>
      <t xml:space="preserve">Autor: </t>
    </r>
    <r>
      <rPr>
        <b/>
        <sz val="9"/>
        <rFont val="Arial"/>
        <family val="2"/>
      </rPr>
      <t xml:space="preserve">B. Sobotka
</t>
    </r>
    <r>
      <rPr>
        <sz val="9"/>
        <rFont val="Arial"/>
        <family val="2"/>
      </rPr>
      <t>Datum zpracování:</t>
    </r>
    <r>
      <rPr>
        <b/>
        <sz val="9"/>
        <rFont val="Arial"/>
        <family val="2"/>
      </rPr>
      <t xml:space="preserve"> 05/2021
</t>
    </r>
    <r>
      <rPr>
        <sz val="9"/>
        <rFont val="Arial"/>
        <family val="2"/>
      </rPr>
      <t>Revize:</t>
    </r>
    <r>
      <rPr>
        <b/>
        <sz val="9"/>
        <rFont val="Arial"/>
        <family val="2"/>
      </rPr>
      <t xml:space="preserve"> 0
</t>
    </r>
  </si>
  <si>
    <t>HDMI 2</t>
  </si>
  <si>
    <t>HDMI repeater</t>
  </si>
  <si>
    <t>UTP cat. 6a</t>
  </si>
  <si>
    <t>trubka D20, nízká mechanická odolnost</t>
  </si>
  <si>
    <t>trubka D40, nízká mechanická odolnost</t>
  </si>
  <si>
    <t>Zásuvka datová 1xRJ45 cat 6a</t>
  </si>
  <si>
    <t>Zásuvka datová 2xRJ45 cat 6a</t>
  </si>
  <si>
    <t>Zásuvka HDMI</t>
  </si>
  <si>
    <t>Detektor kouře, typ podle stávajícího zabezpečovacího systému</t>
  </si>
  <si>
    <t>Datový rozvaděč Rdat
- oceloplechový rozvaděč, pod omítku, 120 modulů
- 2x zásuvka 230V
- 3x patch panel 8 portů, router dle poskytovatele připojení, příslušenství
- router podle poskytovatele připojení</t>
  </si>
  <si>
    <t xml:space="preserve">Úprava stávající elektroinstalace </t>
  </si>
  <si>
    <t>Úprava stávajícího zabezpečovacího systému (demontáž a opětovná montáž, připojení)</t>
  </si>
  <si>
    <t xml:space="preserve">Montáž </t>
  </si>
  <si>
    <t>EL_silnoproud</t>
  </si>
  <si>
    <t>EL_slaboproud</t>
  </si>
  <si>
    <t xml:space="preserve">A1 </t>
  </si>
  <si>
    <t>E27 LED G95, svítidlo, 330°, 2700K, 806lm, stmívatelné</t>
  </si>
  <si>
    <t>LED světelný zdroj QPAR51, GU10 2700 K bílá</t>
  </si>
  <si>
    <t>LED ovladač, 10 W, 350 mA, vč. odlehčovacího profilu, stmívatelný</t>
  </si>
  <si>
    <t>A8</t>
  </si>
  <si>
    <t>LED ovladač, 40W, 700mA, vč. odlehčovacího profilu</t>
  </si>
  <si>
    <t>A8.1</t>
  </si>
  <si>
    <t>LED ovladač, 40W, 700mA, vč. odlehčovacího profilu, stmívatelné</t>
  </si>
  <si>
    <t>A9</t>
  </si>
  <si>
    <t>A10</t>
  </si>
  <si>
    <t>LINE BALL PROOF SPORT 54W</t>
  </si>
  <si>
    <t>A10.1</t>
  </si>
  <si>
    <t>LINE BALL PROOF SPORT 73W</t>
  </si>
  <si>
    <t>LED pásek</t>
  </si>
  <si>
    <t>FLEXSTRIP, LED 24 V 10 mm 5 m 3500lm 3000 K</t>
  </si>
  <si>
    <t>AL profil</t>
  </si>
  <si>
    <t>LED nástavbový profil, standardní, drážkovaný, 2m, hliník</t>
  </si>
  <si>
    <t>kryt</t>
  </si>
  <si>
    <t>krytka</t>
  </si>
  <si>
    <t>napaječ</t>
  </si>
  <si>
    <t>Napájení LED, 60 W, 24 V</t>
  </si>
  <si>
    <t>Nouzové svítidlo do podhledu antipanické, LED, RAIN</t>
  </si>
  <si>
    <r>
      <t>Autor:</t>
    </r>
    <r>
      <rPr>
        <b/>
        <sz val="9"/>
        <rFont val="Arial"/>
        <family val="2"/>
      </rPr>
      <t xml:space="preserve">Ing. Bažant
</t>
    </r>
    <r>
      <rPr>
        <sz val="9"/>
        <rFont val="Arial"/>
        <family val="2"/>
      </rPr>
      <t>Datum zpracování:</t>
    </r>
    <r>
      <rPr>
        <b/>
        <sz val="9"/>
        <rFont val="Arial"/>
        <family val="2"/>
      </rPr>
      <t xml:space="preserve"> 05/2021
</t>
    </r>
    <r>
      <rPr>
        <sz val="9"/>
        <rFont val="Arial"/>
        <family val="2"/>
      </rPr>
      <t>Revize:</t>
    </r>
    <r>
      <rPr>
        <b/>
        <sz val="9"/>
        <rFont val="Arial"/>
        <family val="2"/>
      </rPr>
      <t xml:space="preserve"> 0
</t>
    </r>
  </si>
  <si>
    <t>Tepelné čerpadlo</t>
  </si>
  <si>
    <t>Tepelné čerpadlo vzduch  / voda, výkon min. 20 kW při A2/W35, chladivo R410A nebo R32, reverzibilní, vč montážní sady, MIN. COP A2 / W35 = 3,54, MIN, provedení SPLIT nebo monoblok
Použitý zdroj tepla musí splňovat parametry definované nařízení Komise (EU) č. 813/2013, kterým se provádí směrnice Evropské­ho parlamentu a Rady 2009/125/ES, pokud jde o požadavky na ekodesign ohřívačů pro vytápění vnitřních prostorů a kombinovaných ohřívačů</t>
  </si>
  <si>
    <t>Instalační konzola venkovní jednotky vč izolátorů chvění</t>
  </si>
  <si>
    <t>Předizolované potrubí chladiva Cu -předizolované</t>
  </si>
  <si>
    <t>Hlavní měřič výroby OZE, DN32 -Qnom=5,9m3/h, wmBUS přenos dat.</t>
  </si>
  <si>
    <t>Vyrovnávací nádoba - stacionární, 200 l, PUR izolace 50 mm</t>
  </si>
  <si>
    <t>Vyrovnávací nádoba - stacionární, 100 l, PUR izolace 50 mm</t>
  </si>
  <si>
    <t>Elektrokotel - max. 30 kW, oběhové čerpadlo, pojišťovací ventil</t>
  </si>
  <si>
    <t>MTZ kompletu TČ vzduch / voda vč zprovoznění systému vč vakuování, doplnění chladiva, dopravy</t>
  </si>
  <si>
    <t>Zaškolení obsluhy, uvedení do provozu</t>
  </si>
  <si>
    <t>Směšování topného okruhu</t>
  </si>
  <si>
    <t>Třícestná směšovací sada pro UT OČ 25-100 230V řiditelné s adaptivním řízením, 3-cestný ventil DN20 MIN kV=6,3 vč. pohonu,měřič tepla DN20 Qn=2,5, vyvaž. ventil DN25 kv=8,1  nastav dle schémat</t>
  </si>
  <si>
    <t>Třícestná směšovací sada pro UT OČ 25-60 230V řiditelné s adaptivním řízením, 3-cestný ventil DN15 MIN kV=4 vč. pohonu,měřič tepla DN20 Qn=1,0, vyvaž. ventil -průtok nastav dle schématu</t>
  </si>
  <si>
    <t>Sada pro dálkový odečet měřičů spotřeby tepla wMbus</t>
  </si>
  <si>
    <t>Expanzní nádoba NG 100/6</t>
  </si>
  <si>
    <t>Těleso rozdělovače a sběrače UT</t>
  </si>
  <si>
    <t>Třícestný přepínací, kolový ventil UT/CH, kolový, DN32 kv=15 typ BL vč pohonu 230V</t>
  </si>
  <si>
    <t>Dopouštění a úprava vody</t>
  </si>
  <si>
    <t>Redukční ventil SV výstup max 4bar, DN20(v případě nízkého tlaku vynechat)</t>
  </si>
  <si>
    <t>Vířivý filtr - jemný DN20</t>
  </si>
  <si>
    <t>Měření spotřeby  dopouštění, SV, DN15</t>
  </si>
  <si>
    <t>Sestava změkčování DN20, patronová nebo kabinetová, vč náplně</t>
  </si>
  <si>
    <t>Oddělovací člen soustavy UT od pitné vody</t>
  </si>
  <si>
    <t>Doplňovací  automat, 230V</t>
  </si>
  <si>
    <t>Odplyňovací  automat, 230V</t>
  </si>
  <si>
    <t>Potrubní systém ostatní</t>
  </si>
  <si>
    <t>Pojistný ventil DUCO 3/4"x 1", otvírací přetlak 0,3 Mpa</t>
  </si>
  <si>
    <t>Pojistný ventil DUCO 3/4"x 1", otvírací přetlak 0,6 Mpa</t>
  </si>
  <si>
    <t>Kulový kohout DN 20</t>
  </si>
  <si>
    <t>Kulový kohout DN 25</t>
  </si>
  <si>
    <t>Kulový kohout DN 32</t>
  </si>
  <si>
    <t>Kulový kohout DN 40</t>
  </si>
  <si>
    <t>Zpětná klapka DN20</t>
  </si>
  <si>
    <t>Zpětná klapka DN25</t>
  </si>
  <si>
    <t>Zpětná klapka DN32</t>
  </si>
  <si>
    <t>Filtr DN 20</t>
  </si>
  <si>
    <t>Filtr DN 25</t>
  </si>
  <si>
    <t>Filtr DN 32</t>
  </si>
  <si>
    <t>Vypouštěcí kout DN 15</t>
  </si>
  <si>
    <t>teploměr d 100  O-120 C</t>
  </si>
  <si>
    <t>Tlakoměr d 100  0 - 0,6 kPa</t>
  </si>
  <si>
    <t>Odvzdušňoací ventil automatický</t>
  </si>
  <si>
    <t>Zhotovení přípojky DN15</t>
  </si>
  <si>
    <t>Zhotovení přípojky DN20</t>
  </si>
  <si>
    <t>Zhotovení přípojky DN25</t>
  </si>
  <si>
    <t>Zhotovení přípojky DN32</t>
  </si>
  <si>
    <t>Zhotovení přípojky DN40</t>
  </si>
  <si>
    <t>Potrubí měděné d22x1  vč prořezu, tvarovek a montáže</t>
  </si>
  <si>
    <t>Potrubí měděné d28x1  vč prořezu, tvarovek a montáže</t>
  </si>
  <si>
    <t>Potrubí měděné d35x1,5 vč prořezu, tvarovek a montáže</t>
  </si>
  <si>
    <t>Potrubí měděné d42x1,5 vč prořezu, tvarovek a montáže</t>
  </si>
  <si>
    <t>Příplatek za tvarovky d22x1-421.5</t>
  </si>
  <si>
    <t>Drobný montážní materiál</t>
  </si>
  <si>
    <t>Konzole pro osazení systému d15x1-28x1.6</t>
  </si>
  <si>
    <t>Návleková izolace d22 tl 10/ 20 mm vč prořezu a montáže</t>
  </si>
  <si>
    <t>Návleková izolace d28 tl 10/ 20 mm   vč prořezu a montáže</t>
  </si>
  <si>
    <t>Návleková izolace d35 tl 10/ 20 mm vč prořezu a montáže</t>
  </si>
  <si>
    <t>Návleková izolace d42 tl 10/ 20 mm vč prořezu a montáže</t>
  </si>
  <si>
    <t>Návleková izolace d35 tl 15mm samlepící   vč prořezu a montáže</t>
  </si>
  <si>
    <t>Příplatek za izolování tvarovek</t>
  </si>
  <si>
    <t>kppl</t>
  </si>
  <si>
    <t>h</t>
  </si>
  <si>
    <t>Stavební úpravy</t>
  </si>
  <si>
    <t>Stavební úpravy pro instalaci nové technologie
prostupy, průrazy stavební konstrukcí
-požární ucpávky</t>
  </si>
  <si>
    <t xml:space="preserve">Malby a zapravení prostoru strojovny </t>
  </si>
  <si>
    <t>Základové patky - beton vč. výztuže vč vsakovací vrstvy pro odvod kondenzátu</t>
  </si>
  <si>
    <t>Těsný prostup pro potrubí chladiva ∅75, cca 0,5m nad podlahou</t>
  </si>
  <si>
    <t>Těsný prostup el. vedení k venkovním jednotkám ∅50, cca 0,8m nad podlahou</t>
  </si>
  <si>
    <t>4.19</t>
  </si>
  <si>
    <t>4.20</t>
  </si>
  <si>
    <t>4.21</t>
  </si>
  <si>
    <t>4.22</t>
  </si>
  <si>
    <t>4.23</t>
  </si>
  <si>
    <t>4.24</t>
  </si>
  <si>
    <t>4.25</t>
  </si>
  <si>
    <t>4.26</t>
  </si>
  <si>
    <t>4.27</t>
  </si>
  <si>
    <t>4.28</t>
  </si>
  <si>
    <t>4.29</t>
  </si>
  <si>
    <t>4.30</t>
  </si>
  <si>
    <t>4.31</t>
  </si>
  <si>
    <t>4.32</t>
  </si>
  <si>
    <t>4.33</t>
  </si>
  <si>
    <t>4.34</t>
  </si>
  <si>
    <t>4.35</t>
  </si>
  <si>
    <t>Demontáže, stěhování</t>
  </si>
  <si>
    <t xml:space="preserve">Přesun hmot  a stěhování st. zařízení </t>
  </si>
  <si>
    <t>Požární dozor</t>
  </si>
  <si>
    <t xml:space="preserve">Komplexní odvzdušnění systému </t>
  </si>
  <si>
    <t>Likvidace vzniklého odpadu</t>
  </si>
  <si>
    <t>Doprava na staveniště</t>
  </si>
  <si>
    <t>km</t>
  </si>
  <si>
    <t>Dokumentace skutečného provedení</t>
  </si>
  <si>
    <t>Zajištění staveniště</t>
  </si>
  <si>
    <t>Otopná tělesa</t>
  </si>
  <si>
    <t>Deskové otopné těleso VK 33-6120</t>
  </si>
  <si>
    <t>Deskové otopné těleso VK 33-6060</t>
  </si>
  <si>
    <t>Deskové otopné těleso VK 22-6060</t>
  </si>
  <si>
    <t>Deskové otopné těleso VK 33-5100</t>
  </si>
  <si>
    <t>Deskové otopné těleso VK 33-9100</t>
  </si>
  <si>
    <t>Deskové otopné těleso VK 33-6160</t>
  </si>
  <si>
    <t>Deskové otopné těleso VK 22-5100</t>
  </si>
  <si>
    <t>Otopné těleso trubkové 600 - 1500</t>
  </si>
  <si>
    <t>Otopné těleso deskové, vertikální, ploché  20-200-60</t>
  </si>
  <si>
    <t>Otopné těleso deskové, vertikální, ploché  20-200-90</t>
  </si>
  <si>
    <t>Otopné těleso článkové vč barevné úpravy CL15-60-45-S40-(51)</t>
  </si>
  <si>
    <t>Otopné těleso článkové, vertikální vč barevné úpravy CL15-200-13-S40(51)</t>
  </si>
  <si>
    <t>Otopné těleso článkové, vertikální vč barevné úpravy CL07-200-13-RAL6021</t>
  </si>
  <si>
    <t>Otopné těleso článkové, vertikální vč barevné úpravy CL07-200-13-S32(26)</t>
  </si>
  <si>
    <t xml:space="preserve">Konzole pro zavěšení OT </t>
  </si>
  <si>
    <t xml:space="preserve">Připojovací  kombi šroubeni/TRV ventil pro VK připojení  vč svěrného šroubení
Termostatický ventil pro dynamické vyvážení a stabilizaci tl. diference </t>
  </si>
  <si>
    <t>Termohlavice pro OT - Desková</t>
  </si>
  <si>
    <t>Připojovací  kombi šroubeni/TRV ventil pro trubková OT vč svěrného šroubení</t>
  </si>
  <si>
    <t>Termohlavice pro OT - trubková</t>
  </si>
  <si>
    <t>Připojovací  kombi šroubeni/TRV ventil pro článková OT vč svěrného šroubení</t>
  </si>
  <si>
    <t>Termohlavice pro OT - článková</t>
  </si>
  <si>
    <t>černý samet</t>
  </si>
  <si>
    <t>Lipová zeleň</t>
  </si>
  <si>
    <t>růžový korál</t>
  </si>
  <si>
    <t>Potrubní systém</t>
  </si>
  <si>
    <t>Potrubí měděné d15x1 vč prořezu, tvarovek a montáže</t>
  </si>
  <si>
    <t>Potrubí měděné d18x1  vč prořezu, tvarovek a montáže</t>
  </si>
  <si>
    <t>Potrubí měděné d28x1,5  vč prořezu, tvarovek a montáže</t>
  </si>
  <si>
    <t>Příplatek za tvarovky d15x1-28x1.5</t>
  </si>
  <si>
    <t>Drobný montážní materiál pro pájení</t>
  </si>
  <si>
    <t>Návleková izolace  d15 tl 10/ 20 mm  vč prořezu a montáže</t>
  </si>
  <si>
    <t>Návleková izolace  d18 tl 10/ 20 mm vč prořezu a montáže</t>
  </si>
  <si>
    <t>Příplatek za vedení v drážkách</t>
  </si>
  <si>
    <t>MTZ kompletních potrubních rozvodů - ostatní</t>
  </si>
  <si>
    <t>Odvzdušňovací ventil automatický</t>
  </si>
  <si>
    <t>Stavební úpravy - dodávky stavby</t>
  </si>
  <si>
    <t>Kompletní dodávka stavebních úprav vč zapravení - průrazy vč začištění</t>
  </si>
  <si>
    <t>Kompletní dodávka stavebních úprav vč zapravení - drážky vč začištění</t>
  </si>
  <si>
    <t>Požární ucpávky, utěsnění</t>
  </si>
  <si>
    <t>Přesun hmot do 6 m</t>
  </si>
  <si>
    <t>Revizní dvířka 0,2x0,2 do podhledu</t>
  </si>
  <si>
    <t>Topná zkouška</t>
  </si>
  <si>
    <t>Komplexní odvzdušnění systému vč odvzdušnění</t>
  </si>
  <si>
    <t>Lidový dům Zaječov</t>
  </si>
  <si>
    <t>Nástěnný ovladač, digitální</t>
  </si>
  <si>
    <t>Regulátor průtoku VAV přívod a odvod D200  vč připojovací svorkovnice a regulace</t>
  </si>
  <si>
    <t>Regulátor průtoku VAV přívod a odvod D250  vč připojovací svorkovnice a regulace</t>
  </si>
  <si>
    <t>Regulátor průtoku VAV přívod D400  vč připojovací svorkovnice a regulace</t>
  </si>
  <si>
    <t>VAV regulátor průtoku, D200, 230V -přívod  vč regulace a nástěnného ovladače</t>
  </si>
  <si>
    <t xml:space="preserve">Potrubní čidlo CO2 </t>
  </si>
  <si>
    <t>Izolátory chvění pro zavěšení  VZT 1.1</t>
  </si>
  <si>
    <t>MTZ VZT1.1</t>
  </si>
  <si>
    <t>MTZ VAV regulátorů</t>
  </si>
  <si>
    <t>Pružné připojení VZT01 jednotky , rozměr dle výrobce, vč izolátorů chvění na podlahu</t>
  </si>
  <si>
    <t>Sání čerstvého vzduchu e1 -ODA</t>
  </si>
  <si>
    <t>Potrubí čtyřhranné, pozink, spojované přírubou 600x300 vč montáže prořezu, přírub, tvarovek a mont. materiálu</t>
  </si>
  <si>
    <t>Protidešťová mřížka 800x800 vč přechodu a povrchové úpravy</t>
  </si>
  <si>
    <t>Tepelná izolace, tř. A1/A2, osazená na trny 40mm</t>
  </si>
  <si>
    <t>Vnitřní akustická izolace tl 25 izolovat 3m délky</t>
  </si>
  <si>
    <t>Výfuk odpadního vzduchu i2 -EHA</t>
  </si>
  <si>
    <t>Potrubí čtyřhranné, pozink, spojované přírubou 800x300 vč montáže prořezu, přírub, tvarovek a mont. materiálu</t>
  </si>
  <si>
    <t>Kulisový tlumič hluku - volná kulisa tlumiče hluku, š=100mm,min izolace vč náběhů, L=1500, H=300</t>
  </si>
  <si>
    <t>T25</t>
  </si>
  <si>
    <t>T31</t>
  </si>
  <si>
    <t>TS16</t>
  </si>
  <si>
    <t>TS25</t>
  </si>
  <si>
    <t>1,1</t>
  </si>
  <si>
    <t>1,2</t>
  </si>
  <si>
    <t>2.1.1</t>
  </si>
  <si>
    <t>2.1.2</t>
  </si>
  <si>
    <t>2.1.3</t>
  </si>
  <si>
    <t>Z1</t>
  </si>
  <si>
    <t>6.30</t>
  </si>
  <si>
    <t>PZ01  RAL 1013</t>
  </si>
  <si>
    <t>8.30</t>
  </si>
  <si>
    <t>TL01</t>
  </si>
  <si>
    <t>Přívod čerstvého vzduchu e2 -SUP</t>
  </si>
  <si>
    <t>7.40</t>
  </si>
  <si>
    <t>5.30</t>
  </si>
  <si>
    <t>5.20</t>
  </si>
  <si>
    <t>3.30</t>
  </si>
  <si>
    <t>PD315
PB250  RAL9003</t>
  </si>
  <si>
    <t>PD200
PB160  RAL9017</t>
  </si>
  <si>
    <t>SM02   RAL9017</t>
  </si>
  <si>
    <t>TX01   RAL9037</t>
  </si>
  <si>
    <t>SM01  RAL9003</t>
  </si>
  <si>
    <t xml:space="preserve">TX01 -PŘÍVODNÍ VYÚSTKA ∅400mm/L=11500mm vč barevné úpravy
závěs na Al kolejnici
Koncové napínání
Přívod mikroperforací spodní polovinou
materiál ve třídě  B-s1,d0 </t>
  </si>
  <si>
    <t xml:space="preserve">Ohebná hadice se zvukovou izoalcí tl 25mm D160  vč montáže, prořezu,  tvarovek </t>
  </si>
  <si>
    <t>Potrubí čtyřhranné, pozink, spojované přírubou 400x300 vč montáže prořezu, přírub, tvarovek a mont. Materiálu</t>
  </si>
  <si>
    <t>Přechod na VAV regulátory D200/250/400</t>
  </si>
  <si>
    <t>Přechod na hrdlo jednotky -rozměr dle výrobce zařízení</t>
  </si>
  <si>
    <t>8.20</t>
  </si>
  <si>
    <t>6.20</t>
  </si>
  <si>
    <t>TL02</t>
  </si>
  <si>
    <t>T10</t>
  </si>
  <si>
    <t>T12</t>
  </si>
  <si>
    <t>T16</t>
  </si>
  <si>
    <t>TS12</t>
  </si>
  <si>
    <t>TS10</t>
  </si>
  <si>
    <t>Sání odpadního vzduchu i1 -ETA</t>
  </si>
  <si>
    <t>5.15</t>
  </si>
  <si>
    <t>5.16</t>
  </si>
  <si>
    <t>5.17</t>
  </si>
  <si>
    <t>5.18</t>
  </si>
  <si>
    <t>5.19</t>
  </si>
  <si>
    <t>5.21</t>
  </si>
  <si>
    <t xml:space="preserve">Ohebná hadice se zvukovou izoalcí tl 25mm D125  vč montáže, prořezu,  tvarovek </t>
  </si>
  <si>
    <t xml:space="preserve">Ohebná hadice se zvukovou izoalcí tl 25mm D110  vč montáže, prořezu,  tvarovek </t>
  </si>
  <si>
    <t>Talířový ventil pro odtah vzduchu D125 vč instal rámečku vč barevné úpravy, a montáže</t>
  </si>
  <si>
    <t>SM03   RAL9017</t>
  </si>
  <si>
    <t>OD250
PB160  RAL9003</t>
  </si>
  <si>
    <t>SM04   RAL9018</t>
  </si>
  <si>
    <t>OV100   RAL9017</t>
  </si>
  <si>
    <t>OV125   RAL9017</t>
  </si>
  <si>
    <t>Požární klapky a prvky</t>
  </si>
  <si>
    <t>PK01</t>
  </si>
  <si>
    <t>PK02</t>
  </si>
  <si>
    <t>PK03</t>
  </si>
  <si>
    <t>PK04</t>
  </si>
  <si>
    <t>Požární klapka do čtyřhranného potrubí, s tavnou pojistkou 72°C, servisní mechanismus, 600X300</t>
  </si>
  <si>
    <t>Požární klapka do čtyřhranného potrubí, s tavnou pojistkou 72°C, servisní mechanismus, 600x200</t>
  </si>
  <si>
    <t>Požární klapka do čtyřhranného potrubí, s tavnou pojistkou 72°C, servisní mechanismus, 400x200</t>
  </si>
  <si>
    <t>Požární klapka do čtyřhranného potrubí, s tavnou pojistkou 72°C, servisní mechanismus, 300x200</t>
  </si>
  <si>
    <t>Montáže</t>
  </si>
  <si>
    <t>Kompletní doplňková montáž systému VZT 1.1</t>
  </si>
  <si>
    <t>Doplňkový montážní a těsnící materiál</t>
  </si>
  <si>
    <t>Přesun hmot, stěhování, do výše nad 6m, montážní plošina/lešení</t>
  </si>
  <si>
    <t>Zvýšená pracnost, práce ve výškách nad 3m</t>
  </si>
  <si>
    <t>Dokumentace VZT skutečného provedení</t>
  </si>
  <si>
    <t xml:space="preserve">Stavební úpravy, demontáže </t>
  </si>
  <si>
    <t>Prostupy vnitřními konstrukcemi VZT01-11 -pro hraněné potrubí
700x400 3X
650x350 2X
650x250 7x
1050x450 1x
550x250 7x
450x250 2x
750x400 1x
450x500 1x</t>
  </si>
  <si>
    <t>Prostupy vnitřními konstrukcemi VZT01-11 -pro kruhé potrubí
do D200</t>
  </si>
  <si>
    <t>Revizní dvířka 0,5x0,5 m</t>
  </si>
  <si>
    <t>Vzduchotechnická zařízení</t>
  </si>
  <si>
    <t>Toalety a zázemí kuchyně</t>
  </si>
  <si>
    <t>Z2</t>
  </si>
  <si>
    <t>VKS16</t>
  </si>
  <si>
    <t>Potrubní odtahový ventilátor  pro řízení dle ovladačů -tlačítek/pohyb senzoru. MIN 250m3/h při 90Pa. 230V, vč regulace s doběhem, vč zpětné klapky D160, tiché provedení. Zařízení dle požadavků ERP 2018 dle nařízení EÚ 1254/1253.</t>
  </si>
  <si>
    <t>Nástěnný odtahový ventilátor  pro řízení dle ovladačů -tlačítek/pohyb senzoru. MIN 150m3/h při 90Pa. 230V, vč regulaces doběhem,vč zpětné klapky D125, tiché provedení. Zařízení dle požadavků ERP 2018 dle nařízení EÚ 1254/1253.</t>
  </si>
  <si>
    <t>Vypínač pro sepnutí ventilátoru</t>
  </si>
  <si>
    <t>Pohybový senzor pro spínání odtahu, paralelně s vypínačem</t>
  </si>
  <si>
    <t>Výfuková hlavice D160 vč těsnícícho límce a montážní sady</t>
  </si>
  <si>
    <t>OV100    RAL 9017</t>
  </si>
  <si>
    <t>OV125    RAL 9017</t>
  </si>
  <si>
    <t>Kuchyně</t>
  </si>
  <si>
    <t>VKS35</t>
  </si>
  <si>
    <t xml:space="preserve">Mechanický ovladač, plynulá volba výkonu </t>
  </si>
  <si>
    <t>Výfuková hlavice D350 vč těsnícícho límce a montážní sady</t>
  </si>
  <si>
    <t>Připojení na st. digestoře, pružné potrubí D dle připojovacích hrdel</t>
  </si>
  <si>
    <t>Kompletní doplňková montáž systému VZT 3</t>
  </si>
  <si>
    <t>Demontáž st. odtahu z kuchyně</t>
  </si>
  <si>
    <t>Prostup střechou pro výfuk vč utěsnění, zakončeno výfukovou hlavicí Do D400</t>
  </si>
  <si>
    <t>Revizní dvířka 0,4x0,4 m</t>
  </si>
  <si>
    <t>S1</t>
  </si>
  <si>
    <t>01, 02</t>
  </si>
  <si>
    <t>S2</t>
  </si>
  <si>
    <t>S3</t>
  </si>
  <si>
    <t>S4</t>
  </si>
  <si>
    <t>Demontáže stávající technologie pro otop:
kotel na tuhá paliva
kompletní OS 35x OT  a 200m vedení</t>
  </si>
  <si>
    <t>Komplexní odzkoušení a zprovoznění, zaregulování VZT3</t>
  </si>
  <si>
    <t xml:space="preserve">Zajištění staveniště </t>
  </si>
  <si>
    <t xml:space="preserve">Stěhování nábytku a jeho zakrytí </t>
  </si>
  <si>
    <t>Připojení odvodu kondenzátu ze stoupačky podtlakových výfuků D32 přes sifon</t>
  </si>
  <si>
    <t>Potrubní odtahový ventilátor s řízením výkonu 0-10V. MIN 2500m3/h při 200Pa. 230V, vč regulace , vč zpětné klapky D350., tiché provedení. Zařízení dle požadavků procesního větrání</t>
  </si>
  <si>
    <t>Talířový ventil pro odtah vzduchu D100 vč instal rámečku vč barevné úpravy a montáže</t>
  </si>
  <si>
    <t>Talířový ventil pro odtah vzduchu D125 vč instal rámečku vč barevné úpravy a montáže</t>
  </si>
  <si>
    <t>Potrubí kruhové typu SPIRO D100 vč tvarovek, montáže a prořezu</t>
  </si>
  <si>
    <t>Potrubí kruhové typu SPIRO D125 vč tvarovek, montáže a prořezu</t>
  </si>
  <si>
    <t>Potrubí kruhové typu SPIRO D160 vč tvarovek, montáže a prořezu</t>
  </si>
  <si>
    <t>Vzduchotechnika
Zařízení VZT 3 - toalety a kuchyně</t>
  </si>
  <si>
    <t>Rovnotlaká větrací jednotka VZT 01, podstropní provedení, rozměry max. 2550 x 1650 x 1400, výkon min. 5000m3/h, 280Pa, příkon max.6kW/400V 50Hz,  protiproudý deskový výměník tepla s účinností vyšší než 79%, součástí zařízení je digitální vestavěná regulace pro komplexní řízení VZT systému, filtr přívodní F7 a odvodní M5, vč vodního ohřívače s regulační sadou, vodního chladiče s regulační sadou a uzavírací klapky ODA, ETA. Dodávka v dílech.
Zařízení dle požadavků ERP 2018 dle nařízení EÚ 1254/1253.</t>
  </si>
  <si>
    <t>Zaústění odvodu kondenzátu z VZT 1 max. D32, svést do nejbližšího sifonu, nutno opatřit zápachovým uzávěrem s kuličkou, přesné provedení dle dodavatele VZT jednotky. V případě nedostatečného spádu použít pomocné čerpadlo kondenzátu Hmi=7m/230V</t>
  </si>
  <si>
    <t>Přechodová tvarovka na hrdlo VZT 1.1 -rozměr dle finálního výrobku</t>
  </si>
  <si>
    <t>Přívodní difosor D315 vč regulačného plenum boxu min D250 vč regulační klapky a montážní sady vč barevné úpravy</t>
  </si>
  <si>
    <t>Přívodní difosor D200 vč regulačného plenum boxu min D160 vč regulační klapky a montážní sady vč barevné úpravy</t>
  </si>
  <si>
    <t>Stropní mřířka bezrámečková vč přechodu min. 0,13m2 /1,2m/s-1 0,5x0,3m vč barevné úpravy a montáže</t>
  </si>
  <si>
    <t>Stropní mřířka bezrámečková vč přechodu min. 0,23m2 /1,2m/s-1  0,5x0,5m vč barevné úpravy a montáže</t>
  </si>
  <si>
    <t>Potrubí kruhové, pevné D250 vč tvarovek, montáže a prořezu</t>
  </si>
  <si>
    <t>Potrubí kruhové, pevné D315 vč tvarovek, montáže a prořezu</t>
  </si>
  <si>
    <t xml:space="preserve">Ohebná hadice se zvukovou izolací tl 25mm D160  vč. montáže tvarovek, prořezu  </t>
  </si>
  <si>
    <t>Ohebná hadice se zvukovou izolací tl 25mm D250  vč. montáže tvarovek, prořezu</t>
  </si>
  <si>
    <t>Potrubí čtyřhranné, pozink, spojované přírubou 700x300 vč montáže přírub, tvarovek a mont. materiálu, prořezu</t>
  </si>
  <si>
    <t>Potrubí čtyřhranné, pozink, spojované přírubou 800x300 vč montáže přírub, tvarovek a mont. materiálu, prořezu</t>
  </si>
  <si>
    <t>Potrubí čtyřhranné, pozink, spojované přírubou 600x300 vč montáže přírub, tvarovek a mont. materiálu,  prořezu</t>
  </si>
  <si>
    <t>Potrubí čtyřhranné, pozink, spojované přírubou 500x300 vč montáže přírub, tvarovek a mont.materiálu, prořezu</t>
  </si>
  <si>
    <t xml:space="preserve">Potrubí čtyřhranné, pozink, spojované přírubou 400x200 vč montáže přírub, tvarovek a mont. materiálu, prořezu </t>
  </si>
  <si>
    <t>Potrubí čtyřhranné, pozink, spojované přírubou 400x300 vč montáže přírub, tvarovek a mont. materiálu, prořezu</t>
  </si>
  <si>
    <t>Potrubí čtyřhranné, pozink, spojované přírubou 500x200 vč montáže přírub, tvarovek a mont. materiálu, prořezu</t>
  </si>
  <si>
    <t>Potrubí čtyřhranné, pozink, spojované přírubou 300x300 vč montáže přírub, tvarovek a mont. materiálu, prořezu</t>
  </si>
  <si>
    <t>Potrubí čtyřhranné, pozink, spojované přírubou 300x200 vč montáže přírub, tvarovek a mont. Materiálu,  prořezu</t>
  </si>
  <si>
    <t>Kulisový tlumič hluku - volná kulisa tlumiče hluku, š=100mm,min izolace vč. náběhů, L=1500, H=300</t>
  </si>
  <si>
    <t>Kaučuková izolace 15mm, samolepící s AL povrchem</t>
  </si>
  <si>
    <t>Mřížka pro sání vzduchu bezrámečková, upevnění do stěny vč přechodu
MIN 0,33m2 /2m/s-1  1,0x0,35m vč barevné úpravy</t>
  </si>
  <si>
    <t>Mřížka pro sání vzduchu bezrámečková, upevnění do stěny vč přechodu
MIN 0,21m2 /2m/s-1  0,7x0,35m  vč barevné úpravy</t>
  </si>
  <si>
    <t>Odvodní difosor D250 vč regulačního plenum boxu min D160 vč regulační klapky a montážní sady vč barevné úpravy</t>
  </si>
  <si>
    <t>Potrubí čtyřhranné, pozink, spojované přírubou 800x200 vč montáže přírub, tvarovek a mont. materiálu  prořezu</t>
  </si>
  <si>
    <t>Potrubí čtyřhranné, pozink, spojované přírubou 600x300 vč montáže přírub, tvarovek a mont. materiálu, prořezu</t>
  </si>
  <si>
    <t>Potrubí čtyřhranné, pozink, spojované přírubou 600x200 vč montáže přírub, tvarovek a mont. materiálu, prořezu</t>
  </si>
  <si>
    <t>Potrubí čtyřhranné, pozink, spojované přírubou 500x200 vč montáže přírub, tvarovek a mont. materiálu prořezu</t>
  </si>
  <si>
    <t>Potrubí čtyřhranné, pozink, spojované přírubou 400x200 vč montáže přírub, tvarovek a mont. materiálu prořezu</t>
  </si>
  <si>
    <t>Potrubí čtyřhranné, pozink, spojované přírubou 300x200 vč montáže přírub, tvarovek a mont. materiálu,  prořezu</t>
  </si>
  <si>
    <t>Kulisový tlumič hluku - volná kulisa tlumiče hluku, š=100mm,min izolace vč. náběhů, L=1500, H=200</t>
  </si>
  <si>
    <t xml:space="preserve">Ohebná hadice se zvukovou izolací tl 25mm D160  vč montáže, tvarovek, prořezu </t>
  </si>
  <si>
    <t>Ohebná hadice se zvukovou izolací tl 25mm D125  vč montáže, tvarovek,prořezu</t>
  </si>
  <si>
    <t xml:space="preserve">Ohebná hadice se zvukovou izolací tl 25mm D110  vč montáže, tvarovek,prořezu </t>
  </si>
  <si>
    <t>Příplatek za pružné závěsy pro VZT potrubí</t>
  </si>
  <si>
    <t>Komplexní odzkoušení a zprovoznění, zaregulování VZT1</t>
  </si>
  <si>
    <t>Komplexní odzkoušení a zprovoznění, zaregulování VZT2</t>
  </si>
  <si>
    <t>Prostupy vnitřními konstrukcemi VZT01-11 -pro kruhové potrubí
do D200</t>
  </si>
  <si>
    <t>Montáž otopných těles</t>
  </si>
  <si>
    <t>Komplexní regulační modul vč směšovaných okruhů vč prpojení a montáže</t>
  </si>
  <si>
    <t>Doplňky k MaR, venkovní čidlo 1x, vnitřní čidlo 10x, dálkový ovaldač okruhu restaurace 1x</t>
  </si>
  <si>
    <t>Vzduchotechnika
Zařízení VZT 1.1 -sál a restaurace</t>
  </si>
  <si>
    <t>Montáž kompletu směšovací sady</t>
  </si>
  <si>
    <t>Montáž kompletu doplnění vč zprovoznění</t>
  </si>
  <si>
    <t>Montáž kompletu potrubní systém ostatní</t>
  </si>
  <si>
    <t>3.21</t>
  </si>
  <si>
    <t>3.22</t>
  </si>
  <si>
    <t>3.23</t>
  </si>
  <si>
    <t>3.24</t>
  </si>
  <si>
    <t>3.25</t>
  </si>
  <si>
    <t>3.26</t>
  </si>
  <si>
    <t>3.27</t>
  </si>
  <si>
    <t>3.28</t>
  </si>
  <si>
    <t>UT_TC</t>
  </si>
  <si>
    <t>UT_OS</t>
  </si>
  <si>
    <t>VZT_01_02</t>
  </si>
  <si>
    <t>VZT_03</t>
  </si>
  <si>
    <t>Zemní zásuvková krabice, IP67 - 2x Z230V/16A, 1x Z400V/16A</t>
  </si>
  <si>
    <t>audiokabel 2x2,5</t>
  </si>
  <si>
    <t xml:space="preserve">Zásuvka audio </t>
  </si>
  <si>
    <t>Komplexní odzkoušení technologie</t>
  </si>
  <si>
    <t>Stmívač s otočným stmíváním a tlačítkovým spínáním, pro LED</t>
  </si>
  <si>
    <t>Stmívač s otočným stmíváním a tlačítkovým spínáním, ovládání DALI, aktivní s napájecím zdrojem</t>
  </si>
  <si>
    <t>Potrubí kanalizační PP-HT Ø40 vč. tvarovek</t>
  </si>
  <si>
    <t>Potrubí kanalizační PP-HT Ø50 vč. tvarovek</t>
  </si>
  <si>
    <t>Potrubí kanalizační PP-HT Ø75 vč. tvarovek</t>
  </si>
  <si>
    <t>Potrubí kanalizační PP-HT Ø110 vč. tvarovek</t>
  </si>
  <si>
    <t>Potrubí kanalizace v zemi PVC KG DN125</t>
  </si>
  <si>
    <t>Prvky kanalizace  (materiál vč. montáže)</t>
  </si>
  <si>
    <t>Čistící tvarovka DN 75</t>
  </si>
  <si>
    <t>Čistící tvarovka DN 110</t>
  </si>
  <si>
    <t>Hlavice ventilační HL810 DN100</t>
  </si>
  <si>
    <t>Hlavice ventilační HL810 DN75</t>
  </si>
  <si>
    <t>Redukce 100/75</t>
  </si>
  <si>
    <t>Redukce 125/100</t>
  </si>
  <si>
    <t>Sifon myčkový/pračkový podomítkový</t>
  </si>
  <si>
    <t>Lapač střešních splavenin předsazený</t>
  </si>
  <si>
    <t>Sifon s vodní a mechanickou uzávěrkou DN40</t>
  </si>
  <si>
    <t>Sifon s vodní a mechanickou uzávěrkou kondenzační DN40</t>
  </si>
  <si>
    <t>Přivzdušňovací hlavice DN50</t>
  </si>
  <si>
    <t>Zařizovací předměty včetně závěsů, úchytů a montáže</t>
  </si>
  <si>
    <t>V</t>
  </si>
  <si>
    <t>Výlevka keramická s plastovou mříží, odtok DN100 dle výběru investora a architekta</t>
  </si>
  <si>
    <t>D</t>
  </si>
  <si>
    <t>Dřez kuchyňský dle výběru investora a architekta</t>
  </si>
  <si>
    <t>S</t>
  </si>
  <si>
    <t>Podlahová vpust DN75 s vodní  a mechanickou zápachovou uzávěrkou, nerezová mřížka</t>
  </si>
  <si>
    <t>Čerpací kompaktní stanice pro odvod kondenzátu, výtlak PE d25 5m, zpětná klapka</t>
  </si>
  <si>
    <t>Sifon umyvadlový DN 40 - chrom vč. těsnění</t>
  </si>
  <si>
    <t>Sifon dřezový DN 50 - chrom vč. těsnění</t>
  </si>
  <si>
    <t>Sifon dřezový DN 75 - chrom vč. těsnění</t>
  </si>
  <si>
    <t>Příprava pro odpad DN50 vč. zavíčkování</t>
  </si>
  <si>
    <t>Potrubí PPR PN20, pro studenou pitnou vodu, 16x2,2</t>
  </si>
  <si>
    <t>Potrubí PPR PN20, pro studenou pitnou vodu, 20x2,3</t>
  </si>
  <si>
    <t>Potrubí PPR PN20, pro studenou pitnou vodu, 25x2,8</t>
  </si>
  <si>
    <t>Potrubí PPR PN20, pro studenou pitnou vodu, 32x3,6</t>
  </si>
  <si>
    <t>Potrubí PPR PN20, pro studenou pitnou vodu, 40x4,5</t>
  </si>
  <si>
    <t>Potrubí PPR PN20, pro teplou vodu, 16x2,2</t>
  </si>
  <si>
    <t>Potrubí PPR PN20, pro teplou vodu, 20x2,3</t>
  </si>
  <si>
    <t>Potrubí PPR PN20, pro teplou vodu, 25x2,8</t>
  </si>
  <si>
    <t>Izolace návleková z pěněného PE, tl. 9 mm - 18x9</t>
  </si>
  <si>
    <t>Izolace návleková z pěněného PE, tl. 13 mm - 20x13</t>
  </si>
  <si>
    <t>Izolace návleková z pěněného PE , tl. 13 mm - 28x25</t>
  </si>
  <si>
    <t>Izolace návleková z pěněného PE, tl. 13 mm - 32x25</t>
  </si>
  <si>
    <t>Izolace návleková z pěněného PE, tl. 13 mm - 40x25</t>
  </si>
  <si>
    <t>Pružná hadice DN15</t>
  </si>
  <si>
    <t>Ocelové potrubí pozink DN25</t>
  </si>
  <si>
    <t>Kotvení potrubí</t>
  </si>
  <si>
    <t>Tlaková zkouška potrubí</t>
  </si>
  <si>
    <t>Dezinfekce a proplach potrubí</t>
  </si>
  <si>
    <t>Kulový kohout pro pitnou vodu 3/4" s vypouštěním</t>
  </si>
  <si>
    <t>Kulový kohout pro pitnou vodu 1" s vypouštěním</t>
  </si>
  <si>
    <t>Kulový kohout pro pitnou vodu 5/4" s vypouštěním</t>
  </si>
  <si>
    <t>Kulový kohout pro pitnou vodu 1/2"</t>
  </si>
  <si>
    <t xml:space="preserve">Kulový kohout pro pitnou vodu 3/4" </t>
  </si>
  <si>
    <t>Kulový kohout pro pitnou vodu 1"</t>
  </si>
  <si>
    <t>Kulový kohout pro pitnou vodu 5/4"</t>
  </si>
  <si>
    <t>Zpětný ventil 3/4"</t>
  </si>
  <si>
    <t>Kontrolovatelná zpětná armatura EA 1"</t>
  </si>
  <si>
    <t>Pojišťovací sestava 3/4"</t>
  </si>
  <si>
    <t>Rohový ventil kulový 1/2"-3/8", vč. připojovací hadičky</t>
  </si>
  <si>
    <t>Výtokový ventil 1/2"</t>
  </si>
  <si>
    <t>Myčkový ventil 1/2"</t>
  </si>
  <si>
    <t>Nezámrzný kohout pro připojení zahradní hadice</t>
  </si>
  <si>
    <t xml:space="preserve">Umyvadlo  60, s otvorem pro baterii, glazovaná spodní hrana </t>
  </si>
  <si>
    <t>Umyvadlo pro tělesně postižené 60 cm, spřepadem, 1 otv pro baterii</t>
  </si>
  <si>
    <t xml:space="preserve">Sensorová umyvadlová baterie směšovací (síť - 230V) </t>
  </si>
  <si>
    <t>Podomítkový modul pro závěs WC,splachovací modul vč. příslušenství + ovládací tlačítko</t>
  </si>
  <si>
    <t>Pisoár se sifonem DN50 + IQ splachovací sada + napájecí zdroj</t>
  </si>
  <si>
    <t xml:space="preserve">WC mísa vč.sedátka </t>
  </si>
  <si>
    <t>WC mísa pro invalidy  vč.sedátka</t>
  </si>
  <si>
    <t>Dvojdřez kuchyňský profi dle výběru investora a architekta a projektu gastro</t>
  </si>
  <si>
    <t xml:space="preserve">Sprchový kout </t>
  </si>
  <si>
    <t>Sifon sprchový DN 50, vč. těsnění</t>
  </si>
  <si>
    <t>Montáže+kompletace</t>
  </si>
  <si>
    <t>Manuály</t>
  </si>
  <si>
    <t>Zaškolení</t>
  </si>
  <si>
    <t>Kamerová zkouška stávající ležaté splaškové a dešťové kanalizace, vč. areálových sítí</t>
  </si>
  <si>
    <t>Testy a revize</t>
  </si>
  <si>
    <r>
      <t>Autor:</t>
    </r>
    <r>
      <rPr>
        <b/>
        <sz val="9"/>
        <rFont val="Arial"/>
        <family val="2"/>
      </rPr>
      <t xml:space="preserve"> Ing. R. Bláha
</t>
    </r>
    <r>
      <rPr>
        <sz val="9"/>
        <rFont val="Arial"/>
        <family val="2"/>
      </rPr>
      <t>Datum zpracování:</t>
    </r>
    <r>
      <rPr>
        <b/>
        <sz val="9"/>
        <rFont val="Arial"/>
        <family val="2"/>
      </rPr>
      <t xml:space="preserve"> 05/2021
</t>
    </r>
    <r>
      <rPr>
        <sz val="9"/>
        <rFont val="Arial"/>
        <family val="2"/>
      </rPr>
      <t>Revize:</t>
    </r>
    <r>
      <rPr>
        <b/>
        <sz val="9"/>
        <rFont val="Arial"/>
        <family val="2"/>
      </rPr>
      <t xml:space="preserve"> 0
</t>
    </r>
  </si>
  <si>
    <t>Ústřední vytápění
Strojovna ÚT  - tepelné čerpadlo</t>
  </si>
  <si>
    <t>Ústřední vytápění
Otopný systém</t>
  </si>
  <si>
    <t>Podružný vodoměr 1/2"  s dálkovým odečtem</t>
  </si>
  <si>
    <t>Elektrický zásobníkový ohřívač teplé vody, závesný stojatý válcový, objem 160l</t>
  </si>
  <si>
    <t>Elektrický zásobníkový ohřívač teplé vody, závesný stojatý válcový, objem 200l</t>
  </si>
  <si>
    <t>Elektrický zásobníkový ohřívač teplé vody, zavěšený pod stropem válcový ležaty, objem 100l</t>
  </si>
  <si>
    <t>Průtokový ohřívač TUV pod umyvadlo</t>
  </si>
  <si>
    <t>A11</t>
  </si>
  <si>
    <t>A12</t>
  </si>
  <si>
    <t>3.29</t>
  </si>
  <si>
    <t>Koncová krytka pro nástavbový profil standardní, 2 ks, ploché provedení, hliník</t>
  </si>
  <si>
    <t>Vestavné svítidlo, svítidlo pro nouzový východ, LED, 6000K, bílé OC GV</t>
  </si>
  <si>
    <t>Nástěnné a stropní svítidlo, svítidlo pro nouzový východ, LED, 6000K, bílé SIGN</t>
  </si>
  <si>
    <t>Vnitřní závěsné svítidlo, E27, bílá, max. 23W, 27,5cm</t>
  </si>
  <si>
    <t>Vnitřní závěsné svítidlo, E27, černé, max. 23W, 17,5cm</t>
  </si>
  <si>
    <t>Vestavné svítidlo, dvě žárovky, QPAR51, oválné, černé matné, max. 100 W, výkyvné, vč. upínacích pružin</t>
  </si>
  <si>
    <t>Vestavné svítidlo, QPAR51, jedna žárovka, kulaté, bílé matné, max. 50 W, vč. upínacích pružin</t>
  </si>
  <si>
    <t>Vestavné svítidlo, dvě žárovky, LED, 2700K, obdélníkové, černé matné, 38°, 15 W, vč. ovladače, upínacích pružin</t>
  </si>
  <si>
    <t>Vestavné svítidlo, LED, 3000K, hranaté, bílé, D/Š/V 8/3,2/8 cm, vč. listových pružin</t>
  </si>
  <si>
    <t>Rámeček POD OMÍTKU,D/V 14/14 cm</t>
  </si>
  <si>
    <t>Vnitřní LED zápustné stropní svítidlo černá/černá 2700 K 55°</t>
  </si>
  <si>
    <t>Stropní zapuštěné svítidlo, LED, 3000K, dlouhé, bílé, 90°, 120cm</t>
  </si>
  <si>
    <t>Stropní zapuštěné svítidlo, LED, 3000K, dlouhé, bílé, 90°, 60cm</t>
  </si>
  <si>
    <t>Přisazené průmyslové svítidlo 1220mm 45W</t>
  </si>
  <si>
    <t>Exteriérové svítidlo + elektroinstalační krabice se svorkami IP54</t>
  </si>
  <si>
    <t>Kryt,  ploché provedení, 2m, mléčný</t>
  </si>
  <si>
    <t>7.17</t>
  </si>
  <si>
    <t>Požárně bezpečnostní řešení</t>
  </si>
  <si>
    <t>Přenosný hasicí přístroj s minimální hasicí schopnosti 21A/113B s náplní 6 kg prášku,vč.instalace na stěnu</t>
  </si>
  <si>
    <t>Požární ucpávky</t>
  </si>
  <si>
    <t>Vybavení řešeného prostoru</t>
  </si>
  <si>
    <t>Hydranty</t>
  </si>
  <si>
    <r>
      <t xml:space="preserve">Autor: </t>
    </r>
    <r>
      <rPr>
        <b/>
        <sz val="9"/>
        <rFont val="Arial"/>
        <family val="2"/>
      </rPr>
      <t xml:space="preserve">Ing. M. Němcová
</t>
    </r>
    <r>
      <rPr>
        <sz val="9"/>
        <rFont val="Arial"/>
        <family val="2"/>
      </rPr>
      <t>Datum zpracování:</t>
    </r>
    <r>
      <rPr>
        <b/>
        <sz val="9"/>
        <rFont val="Arial"/>
        <family val="2"/>
      </rPr>
      <t xml:space="preserve"> 05/2021
</t>
    </r>
    <r>
      <rPr>
        <sz val="9"/>
        <rFont val="Arial"/>
        <family val="2"/>
      </rPr>
      <t>Revize:</t>
    </r>
    <r>
      <rPr>
        <b/>
        <sz val="9"/>
        <rFont val="Arial"/>
        <family val="2"/>
      </rPr>
      <t xml:space="preserve"> 0
</t>
    </r>
  </si>
  <si>
    <t>PBŘ</t>
  </si>
  <si>
    <t>SO7 - Suterén 1.PP</t>
  </si>
  <si>
    <t>1.PP</t>
  </si>
  <si>
    <t>2 ks</t>
  </si>
  <si>
    <t>1.NP</t>
  </si>
  <si>
    <t>5 ks</t>
  </si>
  <si>
    <t>Bezpečnostní značení - únikové cesty a věcné prostředky PO, hlavní uzávěry vody, plynu a elektřiny budou označeny značkami v souladu s nařízením vlády č. 375/2017 Sb</t>
  </si>
  <si>
    <t>962032241</t>
  </si>
  <si>
    <t>Bourání zdiva z cihel pálených nebo vápenopískových na MC přes 1 m3</t>
  </si>
  <si>
    <t>Bourání podkladů pod dlažby nebo mazanin betonových nebo z litého asfaltu tl do 100 mm pl přes 4 m2</t>
  </si>
  <si>
    <t>972085391</t>
  </si>
  <si>
    <t>Vybourání otvorů v podhledu stropu rabicovém pl do 0,25 m2</t>
  </si>
  <si>
    <t>997013153</t>
  </si>
  <si>
    <t>Vnitrostaveništní doprava suti a vybouraných hmot pro budovy v do 12 m s omezením mechanizace</t>
  </si>
  <si>
    <t>Odvoz suti a vybouraných hmot na skládku nebo meziskládku do 1 km se složením</t>
  </si>
  <si>
    <t>997013603</t>
  </si>
  <si>
    <t>Poplatek za uložení na skládce (skládkovné) stavebního odpadu cihelného kód odpadu 17 01 02</t>
  </si>
  <si>
    <t>997013811</t>
  </si>
  <si>
    <t>Poplatek za uložení na skládce (skládkovné) stavebního odpadu dřevěného kód odpadu 17 02 01</t>
  </si>
  <si>
    <t>997013814</t>
  </si>
  <si>
    <t>Poplatek za uložení na skládce (skládkovné) stavebního odpadu izolací kód odpadu 17 06 04</t>
  </si>
  <si>
    <t>komín</t>
  </si>
  <si>
    <t>(0,9+0,6)*2*0,15*12,2</t>
  </si>
  <si>
    <t>půda</t>
  </si>
  <si>
    <t>(121,5-5,4)*0,05</t>
  </si>
  <si>
    <t>Příplatek k odvozu suti a vybouraných hmot na skládku ZKD 1 km přes 1 km - 10 km</t>
  </si>
  <si>
    <t>Poplatek za uložení stavebního odpadu na recyklační skládce  (skládkovné) z prostého betonu kod odpadu 17 01 01</t>
  </si>
  <si>
    <t>713</t>
  </si>
  <si>
    <t>713120813</t>
  </si>
  <si>
    <t>Odstranění tepelné izolace podlah volně kladené z vláknitých materiálů suchých tl přes 100 mm</t>
  </si>
  <si>
    <t>762</t>
  </si>
  <si>
    <t>Konstrukce tesařské</t>
  </si>
  <si>
    <t>762521811</t>
  </si>
  <si>
    <t>Demontáž podlah bez polštářů z prken tloušťky do 32 mm</t>
  </si>
  <si>
    <t>762523104</t>
  </si>
  <si>
    <t>Položení podlahy z hoblovaných prken na sraz</t>
  </si>
  <si>
    <t>60516100</t>
  </si>
  <si>
    <t>řezivo smrkové sušené tl 30mm</t>
  </si>
  <si>
    <t>Poplatek za uložení stavebního odpadu na recyklační skládce  (skládkovné) směsného stavebního kód odpadu 17 09 04</t>
  </si>
  <si>
    <t>783</t>
  </si>
  <si>
    <t>Dokončovací práce - nátěry</t>
  </si>
  <si>
    <t>783214121</t>
  </si>
  <si>
    <t>Sanační biocidní ošetření stříkáním tesařských konstrukcí zabudovaných do konstrukce</t>
  </si>
  <si>
    <t>783223121</t>
  </si>
  <si>
    <t>Napouštěcí dvojnásobný akrylátový biocidní nátěr tesařských konstrukcí zabudovaných do konstrukce</t>
  </si>
  <si>
    <t>783244101</t>
  </si>
  <si>
    <t>Základní jednonásobný polyuretanový nátěr tesařských konstrukcí</t>
  </si>
  <si>
    <t>783247101</t>
  </si>
  <si>
    <t>Krycí jednonásobný polyuretanový nátěr tesařských konstrukcí</t>
  </si>
  <si>
    <t>783252111</t>
  </si>
  <si>
    <t>Lokální tmelení tesařských konstrukcí do 30% plochy polyesterovým tmelem</t>
  </si>
  <si>
    <t>369,7+26,5*13,3</t>
  </si>
  <si>
    <t>783201201</t>
  </si>
  <si>
    <t>Obroušení tesařských konstrukcí před provedením nátěru</t>
  </si>
  <si>
    <t>783201403</t>
  </si>
  <si>
    <t>Oprášení tesařských konstrukcí před provedením nátěru</t>
  </si>
  <si>
    <t>783242131</t>
  </si>
  <si>
    <t>Tmelení spar nebo rohů tesařských konstrukcí polyuretanovým tmelem</t>
  </si>
  <si>
    <t>783248201</t>
  </si>
  <si>
    <t>Lakovací jednonásobný polyuretanový nátěr tesařských konstrukcí</t>
  </si>
  <si>
    <t>783248221</t>
  </si>
  <si>
    <t>Lakovací dvojnásobný polyuretanový nátěr s mezibroušením tesařských konstrukcí</t>
  </si>
  <si>
    <t>5,3+1,2*0,2*13</t>
  </si>
  <si>
    <t>Vybourání kovových dveřních zárubní pl.do 2 m2</t>
  </si>
  <si>
    <t>0,8*1,97</t>
  </si>
  <si>
    <t>32,96*10</t>
  </si>
  <si>
    <t>Montáž dveří protipožárního uzávěru jednokřídlového</t>
  </si>
  <si>
    <t>369,7*1,08*0,024</t>
  </si>
  <si>
    <t>765191001</t>
  </si>
  <si>
    <t>Montáž pojistné hydroizolační nebo parotěsné fólie kladené ve sklonu do 20° lepením na bednění nebo izolaci</t>
  </si>
  <si>
    <t>28329036</t>
  </si>
  <si>
    <t>fólie kontaktní difuzně propustná pro doplňkovou hydroizolační vrstvu, třívrstvá mikroporézní PP 150g/m2 s integrovanou samolepící páskou</t>
  </si>
  <si>
    <t>(114,0+192,10+48,90)*1,15</t>
  </si>
  <si>
    <t>Přesun hmot tonážní pro izolace tepelné v objektech v do 12 m</t>
  </si>
  <si>
    <t>Montáž izolace tepelné podlah, stropů vrchem nebo střech překrytí folií s přelepeným spojem</t>
  </si>
  <si>
    <t>Tepelná foukaná izolace minerální vlákna nižší objemová hmotnost vodorovná volná tl do 300 mm   - půda</t>
  </si>
  <si>
    <t>SO4 - Šatny a chodba (1.NP a 2.NP)</t>
  </si>
  <si>
    <t>Bourání potěrů cementových nebo pískocementových tl do 50 mm pl přes 4 m2</t>
  </si>
  <si>
    <t>968062374</t>
  </si>
  <si>
    <t>Vybourání dřevěných rámů oken zdvojených včetně křídel pl do 1 m2</t>
  </si>
  <si>
    <t>968062375</t>
  </si>
  <si>
    <t>Vybourání dřevěných rámů oken zdvojených včetně křídel pl do 2 m2</t>
  </si>
  <si>
    <t>968072455</t>
  </si>
  <si>
    <t>Vybourání kovových dveřních zárubní pl do 2 m2</t>
  </si>
  <si>
    <t>997013867</t>
  </si>
  <si>
    <t>Poplatek za uložení stavebního odpadu na recyklační skládce (skládkovné) z tašek a keramických výrobků kód odpadu  17 01 03</t>
  </si>
  <si>
    <t>Potěr cementový samonivelační litý C30 tl do 50 mm</t>
  </si>
  <si>
    <t>Příplatek k cementovému samonivelačnímu litému potěru C30 ZKD 5 mm tloušťky přes 50 mm</t>
  </si>
  <si>
    <t>Přesun hmot pro budovy zděné v do 12 m</t>
  </si>
  <si>
    <t>771571810</t>
  </si>
  <si>
    <t>Demontáž podlah z dlaždic keramických kladených do malty</t>
  </si>
  <si>
    <t>771574152</t>
  </si>
  <si>
    <t>Montáž podlah keramických velkoformátových hladkých lepených flexibilním lepidlem do 2 ks/m2</t>
  </si>
  <si>
    <t>59761370</t>
  </si>
  <si>
    <t>766691914</t>
  </si>
  <si>
    <t>Vyvěšení nebo zavěšení dřevěných křídel dveří pl do 2 m2</t>
  </si>
  <si>
    <t>D 2.1</t>
  </si>
  <si>
    <r>
      <t>Nové interiérové dveře jednokřídlé, š.800 mm x v.1970 mm, pravé dovnitř 
- protipožární:</t>
    </r>
    <r>
      <rPr>
        <b/>
        <sz val="9"/>
        <rFont val="Arial"/>
        <family val="2"/>
      </rPr>
      <t xml:space="preserve"> EI30 DP3</t>
    </r>
    <r>
      <rPr>
        <sz val="9"/>
        <rFont val="Arial"/>
        <family val="2"/>
      </rPr>
      <t xml:space="preserve">
- plechové bezfalcové dveře, v plechové obložkové zárubni 
- v líci se stěnou z veřejné chodby m.č. 2.01
- otevírání dveřního křídla - dovnitř zárubně. 
- dveřní křídlo - plechové s voštinovou výplní, v líci s obložkou 
- povrchová úprava - lak 20% lesk, RAL 9010 Fine texture (bude vzorováno)
- bezpečnostní odolnost min. RC2
- otevírací mechanismus - boční válečkové panty 
- klika/koule, černá barva</t>
    </r>
  </si>
  <si>
    <t>D 2.2</t>
  </si>
  <si>
    <t>Nové interiérové dveře jednokřídlé, š.800 mm x v.1970 mm, pravé dovnitř 
- bez požadavku na požární odolnost
- plechové bazfalcové dveře, v plechové obložkové zárubni 
- v líci se stěnou z veřejné chodby m.č. 2.01
- otevírání dveřního křídla - dovnitř zárubně. 
- dveřní křídlo - plechové s voštinovou výplní, v líci s obložkou 
- povrchová úprava - lak 20% lesk, RAL 9010 Fine texture (bude vzorováno)
- bezpečnostní odolnost min. RC2
- otevírací mechanismus - boční válečkové panty 
- klika/koule, černá barva</t>
  </si>
  <si>
    <t>767640311</t>
  </si>
  <si>
    <t>Montáž dveří ocelových vnitřních jednokřídlových</t>
  </si>
  <si>
    <t>Přesun hmot tonážní pro podlahy z dlaždic v objektech v  do 12 m</t>
  </si>
  <si>
    <t>0,8*1,97*4</t>
  </si>
  <si>
    <t>17,6*7,9*1,2*0,001</t>
  </si>
  <si>
    <t>4,31*10</t>
  </si>
  <si>
    <t>Vybourání otvorů ve zdivu cihelném pl.do 4 m2 na MVC nebo MV tl. do 600 mm</t>
  </si>
  <si>
    <t>okna sál 2.NP</t>
  </si>
  <si>
    <t>0,7*1,55*0,45*10+1,5*0,15*0,45*10</t>
  </si>
  <si>
    <t>317234410</t>
  </si>
  <si>
    <t>Vyzdívka mezi nosníky z cihel pálených na MC</t>
  </si>
  <si>
    <t>317944321</t>
  </si>
  <si>
    <t>Válcované nosníky do č.12 dodatečně osazované do připravených otvorů</t>
  </si>
  <si>
    <t>Vodorovné konstrukce</t>
  </si>
  <si>
    <t>413232211</t>
  </si>
  <si>
    <t>Zazdívka zhlaví válcovaných nosníků v do 150 mm</t>
  </si>
  <si>
    <t>Dokončovací práce - malby a tapety</t>
  </si>
  <si>
    <t>784111031</t>
  </si>
  <si>
    <t>Omytí podkladu v místnostech výšky do 3,80 m</t>
  </si>
  <si>
    <t>784161001</t>
  </si>
  <si>
    <t>Tmelení spar a rohů šířky do 3 mm akrylátovým tmelem v místnostech výšky do 3,80 m</t>
  </si>
  <si>
    <t>Zakrytí vnitřních podlah včetně pozdějšího odkrytí</t>
  </si>
  <si>
    <t>784181102</t>
  </si>
  <si>
    <t>Základní akrylátová jednonásobná pigmentovaná penetrace podkladu v místnostech výšky do 3,80 m</t>
  </si>
  <si>
    <t>784211101</t>
  </si>
  <si>
    <t>Dvojnásobné bílé malby ze směsí za mokra výborně otěruvzdorných v místnostech výšky do 3,80 m</t>
  </si>
  <si>
    <t>(21,55*2,8)-0,8*1,97*4</t>
  </si>
  <si>
    <t>(21,55*2,8)-0,8*1,97*4+23,0</t>
  </si>
  <si>
    <t>Prefabrikované konstrukce</t>
  </si>
  <si>
    <t>Montáž Prefa schodišťových ramen a rampy</t>
  </si>
  <si>
    <t>Dodávka Prefa konstrukcí</t>
  </si>
  <si>
    <t>0676:Blok šedo-bílý     Pre 05  363x20x107,5/87  116,5 cm  - rovina</t>
  </si>
  <si>
    <t>0677:Blok šedo-bílý     Pre 06  363x20x84/63,5</t>
  </si>
  <si>
    <t>0678:Blok šedo-bílý     Pre 07  363x20x60,5/40</t>
  </si>
  <si>
    <t>Architektonické a stavebně technické řešení</t>
  </si>
  <si>
    <t>Zemní práce</t>
  </si>
  <si>
    <t>132212112</t>
  </si>
  <si>
    <t>Hloubení rýh š do 800 mm v nesoudržných horninách třídy těžitelnosti I, skupiny 3 ručně</t>
  </si>
  <si>
    <t>167151101</t>
  </si>
  <si>
    <t>Nakládání výkopku z hornin třídy těžitelnosti I, skupiny 1 až 3 do 100 m3</t>
  </si>
  <si>
    <t>Poplatek za uložení zeminy a kamení na recyklační skládce (skládkovné) kód odpadu 17 05 04</t>
  </si>
  <si>
    <t>271532213</t>
  </si>
  <si>
    <t>Podsyp pod základové konstrukce se zhutněním z hrubého kameniva frakce 8 až 16 mm</t>
  </si>
  <si>
    <t>274313511</t>
  </si>
  <si>
    <t>Základové pásy z betonu tř. C 12/15</t>
  </si>
  <si>
    <t>274313611</t>
  </si>
  <si>
    <t>Základové pásy z betonu tř. C 16/20</t>
  </si>
  <si>
    <t>274351121</t>
  </si>
  <si>
    <t>Zřízení bednění základových pasů rovného</t>
  </si>
  <si>
    <t>274351122</t>
  </si>
  <si>
    <t>Odstranění bednění základových pasů rovného</t>
  </si>
  <si>
    <t>273321311</t>
  </si>
  <si>
    <t>Základové desky ze ŽB bez zvýšených nároků na prostředí tř. C 16/20</t>
  </si>
  <si>
    <t>273351121</t>
  </si>
  <si>
    <t>Zřízení bednění základových desek</t>
  </si>
  <si>
    <t>273351122</t>
  </si>
  <si>
    <t>Odstranění bednění základových desek</t>
  </si>
  <si>
    <t>273362021</t>
  </si>
  <si>
    <t>Výztuž základových desek svařovanými sítěmi Kari</t>
  </si>
  <si>
    <t>Zakládání</t>
  </si>
  <si>
    <t>Prefa konstrukce</t>
  </si>
  <si>
    <t>18,12*2*0,45*1,0*1,2</t>
  </si>
  <si>
    <t>19,6*1,8</t>
  </si>
  <si>
    <t>18,12*2*0,5*0,1</t>
  </si>
  <si>
    <t>18,12*2*0,45*0,9</t>
  </si>
  <si>
    <t>18,12*2*2*0,9</t>
  </si>
  <si>
    <t>(14,53*1,69+3,60*1,48)*0,15</t>
  </si>
  <si>
    <t>(14,53*2,0+3,60*2+1,69*2+1,48*2)*0,15</t>
  </si>
  <si>
    <t>(14,53*1,69+3,60*1,48)*1,2*5,4*0,001</t>
  </si>
  <si>
    <t>SO8 - Vnější obálka objektu, tepelně technická opatření</t>
  </si>
  <si>
    <t>Okna a dveře - hliníkový profil</t>
  </si>
  <si>
    <t>O 0.1 Al</t>
  </si>
  <si>
    <r>
      <rPr>
        <b/>
        <sz val="9"/>
        <rFont val="Arial"/>
        <family val="2"/>
      </rPr>
      <t xml:space="preserve">Vnější Al okno </t>
    </r>
    <r>
      <rPr>
        <sz val="9"/>
        <rFont val="Arial"/>
        <family val="2"/>
      </rPr>
      <t>- viditelný rozměr:1000x600mm
- skutečný rozměr rámu:1170x785mm 
Profil:
Materiál:Hliníkový profil 
Barva fixního rámu: RAL 9011 Mat Fine texture
Barva otvíravých křídel:RAL 9011 Mat Fine texture
Výplň: tepelně izolační sendvič, poplechovaný Al lakovaný, RAL dle křídla
Splňuje požadavek Ucelk &lt; 1,20 W/Km2
Silikon: transparentní
Rám: rám okenní
Kování: pevně v rámu, otvírání/sklápění dle schematu
Křídlo: křídlo okenní, Okapnice: Al, Těsnění: bílé
Typ kování: skryté panty, nerezové kliky
Parapet vnější:Keramický obklad
Parapet vnitřní: Keramický obklad (viz.stavební část)</t>
    </r>
  </si>
  <si>
    <t>O 1.1 Al</t>
  </si>
  <si>
    <r>
      <rPr>
        <b/>
        <sz val="9"/>
        <rFont val="Arial"/>
        <family val="2"/>
      </rPr>
      <t xml:space="preserve">Vnější Al okno </t>
    </r>
    <r>
      <rPr>
        <sz val="9"/>
        <rFont val="Arial"/>
        <family val="2"/>
      </rPr>
      <t>-vnější viditelný rozměr:430x900mm
- skutečný rozměr rámu:600x985mm 
Profil:
Materiál:Hliníkový profil 
Barva fixního rámu: RAL 1013 Mat Fine texture
Barva otvíravých křídel:RAL 1013 Mat Fine texture
Výplň: 4/14/4/14/4 Ug = 0,6 W/Km2, Splňuje požadavek Ucelk &lt; 0,96 W/Km2
Sklo: Montáž ve výrobě, Silikon: transparentní
Rám: rám okenní
Kování: pevně v rámu, otvírání/sklápění dle schematu
Křídlo: křídlo okenní
Okapnice: Al, Těsnění: bílé
Typ kování: skryté panty, nerezové kliky
Parapet vnější:Al systémový, RAL 1013 Mat
Parapet vnitřní: Keramický obklad (viz.stavební část)</t>
    </r>
  </si>
  <si>
    <t>O 1.2 Al</t>
  </si>
  <si>
    <r>
      <rPr>
        <b/>
        <sz val="9"/>
        <rFont val="Arial"/>
        <family val="2"/>
      </rPr>
      <t>Vnější Al okno  -</t>
    </r>
    <r>
      <rPr>
        <sz val="9"/>
        <rFont val="Arial"/>
        <family val="2"/>
      </rPr>
      <t xml:space="preserve"> vnější viditelný rozměr:900x900mm
- skutečný rozměr rámu:1070x985mm 
Profil:
Materiál:Hliníkový profil 
Barva fixního rámu: RAL 1013 Mat Fine texture
Barva otvíravých křídel:RAL 1013 Mat Fine texture
Výplň: 4/14/4/14/4 Ug = 0,6 W/Km2, Splňuje požadavek Ucelk &lt; 0,96 W/Km2
Sklo: Montáž ve výrobě, Silikon: transparentní
Rám: rám okenní
Kování: pevně v rámu, otvírání/sklápění dle schematu
Křídlo:křídlo okenní
Okapnice: Al, Těsnění: bílé
Typ kování: skryté panty, nerezové kliky
Parapet vnější:Al systémový, RAL 1013 Mat
Parapet vnitřní: Keramický obklad (viz.stavební část)</t>
    </r>
  </si>
  <si>
    <t>O 1.3 Al</t>
  </si>
  <si>
    <r>
      <rPr>
        <b/>
        <sz val="9"/>
        <rFont val="Arial"/>
        <family val="2"/>
      </rPr>
      <t>Vnější Al okno  -</t>
    </r>
    <r>
      <rPr>
        <sz val="9"/>
        <rFont val="Arial"/>
        <family val="2"/>
      </rPr>
      <t xml:space="preserve"> vnější viditelný rozměr:1630x1150mm
- skutečný rozměr rámu:1795x1235mm 
Profil:
Materiál:Hliníkový profil 
Barva fixního rámu: RAL 1013 Mat Fine texture
Barva otvíravých křídel:RAL 1013 Mat Fine texture
Výplň: 4/14/4/14/4 Ug = 0,6 W/Km2, Splňuje požadavek Ucelk &lt; 0,96 W/Km2
Sklo: Montáž ve výrobě, Silikon: transparentní
Rám: rám okenní
Kování: pevně v rámu, otvírání/sklápění dle schematu
Křídlo: křídlo okenní
Okapnice: Al, Těsnění: bílé
Typ kování: skryté panty, nerezové kliky
Parapet vnější:Al systémový, RAL 1013 Mat
Parapet vnitřní: Keramický obklad (viz.stavební část)</t>
    </r>
  </si>
  <si>
    <t>O 1.4 Al</t>
  </si>
  <si>
    <r>
      <rPr>
        <b/>
        <sz val="9"/>
        <rFont val="Arial"/>
        <family val="2"/>
      </rPr>
      <t>Vnější Al okno  -</t>
    </r>
    <r>
      <rPr>
        <sz val="9"/>
        <rFont val="Arial"/>
        <family val="2"/>
      </rPr>
      <t xml:space="preserve"> vnější viditelný rozměr:1300x1300mm
- skutečný rozměr rámu:1470x1385mm 
Profil:
Materiál:Hliníkový profil 
Barva fixního rámu: RAL 1013 Mat Fine texture
Barva otvíravých křídel:RAL 1013 Mat Fine texture
Výplň: 4/14/4/14/4 Ug = 0,6 W/Km2, Splňuje požadavek Ucelk &lt; 0,96 W/Km2
Sklo: Montáž ve výrobě, Silikon: transparentní
Rám: rám okenní
Kování: pevně v rámu, otvírání/sklápění dle schematu
Křídlo: křídlo okenní
Okapnice: Al, Těsnění: bílé
Typ kování: skryté panty, nerezové kliky
Parapet vnější:Al systémový, RAL 1013 Mat
Parapet vnitřní: Keramický obklad (viz.stavební část)</t>
    </r>
  </si>
  <si>
    <t>D 1.1 Al</t>
  </si>
  <si>
    <r>
      <rPr>
        <b/>
        <sz val="9"/>
        <rFont val="Arial"/>
        <family val="2"/>
      </rPr>
      <t xml:space="preserve">Vnější Al dveře - </t>
    </r>
    <r>
      <rPr>
        <sz val="9"/>
        <rFont val="Arial"/>
        <family val="2"/>
      </rPr>
      <t>vnější viditelný rozměr:2935x2675mm
- skutečný rozměr rámu:3100x2755mm
Dveře 2-křídlé prosklené s bočními fixy 
Materiál:Hliníkový profil 
Barva fixního rámu: RAL 1013 Mat Fine texture
Barva otvíravých křídel:RAL 1013 Mat Fine texture
Výplň: ESG 6/16/ESG 6 Ug=1,4, Splňuje požadavek Ucelk &lt; 1,20 W/Km2
Sklo: Montáž ve vý́robě+na místě
Přelepené rámy černě podsmaltovaným sklem ESG, plošně lícující z exteriéru
Silikon: černý
Rám: rám dveřní
Kování: pevně v rámu, otvírání/sklápění dle schematu
Křídlo: křídlo dveřní
Okapnice: Al, Těsnění: černé
Typ kování: skryté panty, svislé madlo oboustranně na celou výši nerez, fixní křídlo otvíravé skrytou rozvorou
Samozavírač: skrytý</t>
    </r>
  </si>
  <si>
    <t>D 1.2 Al</t>
  </si>
  <si>
    <r>
      <rPr>
        <b/>
        <sz val="9"/>
        <rFont val="Arial"/>
        <family val="2"/>
      </rPr>
      <t>Vnější Al dveře</t>
    </r>
    <r>
      <rPr>
        <sz val="9"/>
        <rFont val="Arial"/>
        <family val="2"/>
      </rPr>
      <t xml:space="preserve"> -vnější viditelný rozměr:1850x2260mm
- skutečný rozměr rámu:2015x2425mm
Dveře 2-křídlé plné 
Materiál:Hliníkový profil 
Barva fixního rámu: RAL 1013 Mat Fine texture
Barva otvíravých křídel:RAL 1013 Mat Fine texture
Výplň: tepelně izolační sendvič, poplechovaný Al lakovaný, RAL dle křídla Splňuje požadavek Ucelk &lt; 1,20 W/Km2
Silikon: černý
Rám: rám dveřní
Kování: pevně v rámu, otvírání/sklápění dle schematu
Křídlo: křídlo dveřní
Okapnice: Al, Těsnění: černé
Typ kování: skryté panty, svislé madlo oboustranně na celou výši dveří nerez dle vzorování, fixní křídlo otvíravé skrytou rozvorou
Samozavírač: skrytý</t>
    </r>
  </si>
  <si>
    <t>D 1.3 Al</t>
  </si>
  <si>
    <r>
      <rPr>
        <b/>
        <sz val="9"/>
        <rFont val="Arial"/>
        <family val="2"/>
      </rPr>
      <t>Vnější Al dveře</t>
    </r>
    <r>
      <rPr>
        <sz val="9"/>
        <rFont val="Arial"/>
        <family val="2"/>
      </rPr>
      <t xml:space="preserve">  - vnější viditelný rozměr:1020x2260mm
- skutečný rozměr rámu:1190x2425mm
Dveře 1-křídlé plné 
Materiál:Hliníkový profil 
Barva fixního rámu: RAL 1013 Mat Fine texture
Barva otvíravých křídel:RAL 1013 Mat Fine texture
Výplň: tepelně izolační sendvič, poplechovaný Al lakovaný, RAL dle křídla
Splňuje požadavek Ucelk &lt; 1,20 W/Km2
Silikon: černý
Rám: rám dveřní
Kování: pevně v rámu, otvírání/sklápění dle schematu
Křídlo: křídlo dveřní
Okapnice: Al, Těsnění: černé
Typ kování: skryté panty, svislé madlo oboustranně na celou výši dveří nerez dle vzorování, 
Samozavírač: skrytý</t>
    </r>
  </si>
  <si>
    <t>D 1.4 Al</t>
  </si>
  <si>
    <r>
      <rPr>
        <b/>
        <sz val="9"/>
        <rFont val="Arial"/>
        <family val="2"/>
      </rPr>
      <t>Vnější Al dveře</t>
    </r>
    <r>
      <rPr>
        <sz val="9"/>
        <rFont val="Arial"/>
        <family val="2"/>
      </rPr>
      <t xml:space="preserve">  -vnější viditelný rozměr:1620x2550 mm
- skutečný rozměr rámu:1785x2715mm
Dveře 2-křídlé plné, Materiál:Hliníkový profil 
Barva fixního rámu: RAL 1013 Mat Fine texture
Barva otvíravých křídel:RAL 1013 Mat Fine texture
Výplň: ESG 6/16/ESG 6 Ug=1,4, Splňuje požadavek Ucelk &lt; 1,20 W/Km2
Sklo: Montáž ve výrobě
Přelepené rámy černě podsmaltovaným sklem ESG, plošně lícující z exteriéru
Silikon: černý, Rám: rám dveřní
Kování: pevně v rámu, otvírání/sklápění dle schematu
Křídlo:křídlo dveřní
Okapnice: Al, Těsnění: černé
Typ kování: skryté panty, svislé madlo oboustranně na celou výši dveří nerez dle vzorování, fixní křídlo otvíravé skrytou rozvorou
Samozavírač: skrytý</t>
    </r>
  </si>
  <si>
    <t>D 1.5 Al</t>
  </si>
  <si>
    <r>
      <rPr>
        <b/>
        <sz val="9"/>
        <rFont val="Arial"/>
        <family val="2"/>
      </rPr>
      <t>Vnější Al dveře</t>
    </r>
    <r>
      <rPr>
        <sz val="9"/>
        <rFont val="Arial"/>
        <family val="2"/>
      </rPr>
      <t xml:space="preserve"> - vnější viditelný rozměr:970x2030 mm
 - skutečný rozměr rámu:1135x2195mm
Dveře 1-křídlé plné, Materiál:Hliníkový profil 
Barva fixního rámu: RAL 1013 Mat Fine texture
Barva otvíravých křídel:RAL 1013 Mat Fine texture
Výplň: tepelně izolační sendvič, poplechovaný Al lakovaný, RAL dle křídla
Splňuje požadavek Ucelk &lt; 1,20 W/Km2
Silikon: černý, Rám: rám dveřní
Kování: pevně v rámu, otvírání/sklápění dle schematu
Křídlo: křídlo dveřní
Okapnice: Al, Těsnění: černé
Typ kování: skryté panty, svislé madlo oboustranně na celou výši dveří nerez dle vzorování
Samozavírač: skrytý</t>
    </r>
  </si>
  <si>
    <t>Montáž Al oken a dveří  vč.dopravy a manipulace</t>
  </si>
  <si>
    <t>Okna a dveře - dřevěný profil</t>
  </si>
  <si>
    <t>O 1.1 Dř</t>
  </si>
  <si>
    <r>
      <t xml:space="preserve">Vnější dřevěné okno -  </t>
    </r>
    <r>
      <rPr>
        <sz val="9"/>
        <rFont val="Arial"/>
        <family val="2"/>
      </rPr>
      <t>vnější viditelný rozměr:1875x2400mm
- skutečný rozměr rámu:1965x2490mm 
- fixní sklo: 1345x2400 + 310x2400mm
Profil: dřevené okno bezfalcové, Dřevina:smrk 
Barva fixního rámu:transparetní lak mat
Barva otvíravých křídel:transparetní lak mat
Výplň: otvíravé okno-panel 68mm dub, 
Splňuje požadavek Ucelk = 0,96 W/Km2
Sklo: fixní zasklení-6ESG4/16/6/16/6 Ug=0,6
Silikon: transparentní, Rám: rám plně skrytý
Kování: pevně v rámu, otvírání/sklápění dle schematu
Křídlo: pevně-zasklívací drážka, 1 * okenní křídlo rám dokola 75
Příčky: příčka dřevěná 65mm/120mm
Okapnice: al+dřevěné překrytí, Těsnění: bílé
Typ kování: skryté panty, nerezové kliky
Parapet vnější:Keramický
Parapet vnitřní:Dřevěný parapet, masiv dub natural mat (součástí mobiliáře)</t>
    </r>
  </si>
  <si>
    <t>O 1.2 Dř</t>
  </si>
  <si>
    <r>
      <t xml:space="preserve">Vnější dřevěné okno - </t>
    </r>
    <r>
      <rPr>
        <sz val="9"/>
        <rFont val="Arial"/>
        <family val="2"/>
      </rPr>
      <t>vnější viditelný rozměr: 2060x1750mm
- skutečný rozměr rámu  2100x1790 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6 * okenní křídlo rám dokola 75
Příčky: příčka dřevěná 65mm/120mm
Okapnice: al+dřevěné překrytí, Těsnění: bílé
Typ kování: skryté panty, nerezové kliky
Parapet vnější:Al systémový, RAL 1013 Mat
Parapet vnitřní:Dřevěný parapet, masiv dub natural mat</t>
    </r>
  </si>
  <si>
    <t>O 1.3 Dř</t>
  </si>
  <si>
    <r>
      <t xml:space="preserve">Vnější dřevěné okno - </t>
    </r>
    <r>
      <rPr>
        <sz val="9"/>
        <rFont val="Arial"/>
        <family val="2"/>
      </rPr>
      <t>vnější viditelný rozměr:  1160x1750 mm
- skutečný rozměr rámu: 1200x1790 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4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</si>
  <si>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O 1.4 Dř</t>
  </si>
  <si>
    <r>
      <t>Vnější dřevěné okno -</t>
    </r>
    <r>
      <rPr>
        <sz val="9"/>
        <rFont val="Arial"/>
        <family val="2"/>
      </rPr>
      <t xml:space="preserve"> vnější viditelný rozměr:610x1750 mm
- skutečný rozměr rámu: 650x1790 mm 
Profil: dřevené okno, Dřevina:smrk -fixní 
Barva fixního rámu: RAL 1019 Mat
Barva otvíravých křídel: RAL 1013 Mat
Výplň: 4/16/4/16/4 Ug=0,6, Ucelk = 0,96 W/Km2
Sklo: Montáž ve výrobě, Silikon: transparentní
Rám: rám okenní
Kování: pevně v rámu, otvírání/sklápění dle schematu
Křídlo: pevně-zasklívací drážka, 2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</si>
  <si>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O 1.5 Dř</t>
  </si>
  <si>
    <t>O 1.6 Dř</t>
  </si>
  <si>
    <r>
      <t>Vnější dřevěné okno -</t>
    </r>
    <r>
      <rPr>
        <sz val="9"/>
        <rFont val="Arial"/>
        <family val="2"/>
      </rPr>
      <t xml:space="preserve"> vnější viditelný rozměr: 1060x1750 mm
- skutečný rozměr rámu: 1100x1790 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1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</si>
  <si>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O 1.7 Dř</t>
  </si>
  <si>
    <r>
      <t>Vnější dřevěné okno -</t>
    </r>
    <r>
      <rPr>
        <sz val="9"/>
        <rFont val="Arial"/>
        <family val="2"/>
      </rPr>
      <t xml:space="preserve"> vnější viditelný rozměr: 560x1750 mm
- skutečný rozměr rámu: 600x1790 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1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</si>
  <si>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2.NP</t>
  </si>
  <si>
    <t>O 2.1 Dř</t>
  </si>
  <si>
    <r>
      <t>Vnější dřevěné okno -</t>
    </r>
    <r>
      <rPr>
        <sz val="9"/>
        <rFont val="Arial"/>
        <family val="2"/>
      </rPr>
      <t xml:space="preserve"> vnější viditelný rozměr:1110x1550mm
- skutečný rozměr rámu:1150x1590mm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4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</si>
  <si>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O 2.2 Dř</t>
  </si>
  <si>
    <r>
      <t>Vnější dřevěné okno -</t>
    </r>
    <r>
      <rPr>
        <sz val="9"/>
        <rFont val="Arial"/>
        <family val="2"/>
      </rPr>
      <t xml:space="preserve"> vnější viditelný rozměr:1610x1550mm
- skutečný rozměr rámu:1650x1590mm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6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</si>
  <si>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O 2.3 Dř</t>
  </si>
  <si>
    <r>
      <t>Vnější dřevěné okno -</t>
    </r>
    <r>
      <rPr>
        <sz val="9"/>
        <rFont val="Arial"/>
        <family val="2"/>
      </rPr>
      <t xml:space="preserve"> vnější viditelný rozměr:560x1550mm
- skutečný rozměr rámu:600x1590mm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2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</si>
  <si>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O 2.4 Dř</t>
  </si>
  <si>
    <r>
      <t>Vnější dřevěné okno -</t>
    </r>
    <r>
      <rPr>
        <sz val="9"/>
        <rFont val="Arial"/>
        <family val="2"/>
      </rPr>
      <t xml:space="preserve"> vnější viditelný rozměr:700x1550mm
- skutečný rozměr rámu:740x1590mm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1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</si>
  <si>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O 2.5 Dř</t>
  </si>
  <si>
    <r>
      <t>Vnější dřevěné okno -</t>
    </r>
    <r>
      <rPr>
        <sz val="9"/>
        <rFont val="Arial"/>
        <family val="2"/>
      </rPr>
      <t xml:space="preserve"> vnější viditelný rozměr:1150x640mm
- skutečný rozměr rámu:1110x600mm 
Profil: dřevené okno, Dřevina:smrk -fixní 
Barva fixního rámu: RAL 1019 Mat
Barva otvíravých křídel: RAL 1013 Mat
Výplň: 4/16/4/16/4 Ug=0,6
Splňuje požadavek Ucelk = 0,96 W/Km2
Sklo: Montáž ve výrobě, Silikon: transparentní
Rám: rám okenní
Kování: pevně v rámu, otvírání/sklápění dle schematu
Křídlo: pevně-zasklívací drážka, 1 * okenní křídlo rám dokola 75
Příčky: příčka dřevěná 65mm/120mm
Okapnice: al+dřevěné překrytí, Těsnění: bílé
Typ kování: skryté panty, nerezovíé kliky
Parapet vnější:Al systémový, RAL 1013 Mat
Parapet vnitřní:Dřevěný parapet, masiv dub natural mat</t>
    </r>
  </si>
  <si>
    <t>D 1.1 Dř</t>
  </si>
  <si>
    <r>
      <t>Vnější dřevěné dveře -</t>
    </r>
    <r>
      <rPr>
        <sz val="9"/>
        <rFont val="Arial"/>
        <family val="2"/>
      </rPr>
      <t xml:space="preserve"> vnější viditelný rozměr:1805x2530mm
- skutečný rozměr rámu:1895x2620mm 
- fixní sklo: 645x2530mm
Profil: SLIM 92 / dřevené okno, Dřevina:smrk 
Barva fixního rámu:transparetní lak mat
Barva otvíravých křídel:transparetní lak mat
Výplň: 4/16/4/16/4 Ug=0,6, Splňuje požadavek Ucelk = 1,20 W/Km2
Sklo: Montáž ve výrobě, Silikon: transparentní
Rám: rám okenní
Kování: pevně v rámu, otvírání/sklápění dle schematu
Křídlo: panel dub
Příčky: příčka dřevěná 65mm/120mm
Okapnice: al+dřevěné překrytí, Těsnění: bílé
Typ kování: skryté panty, svislé madla oboustranně na celou výši deří RAL dle vzorování</t>
    </r>
  </si>
  <si>
    <t>D 1.2 Dř</t>
  </si>
  <si>
    <r>
      <t>Vnější dřevěné dveře -</t>
    </r>
    <r>
      <rPr>
        <sz val="9"/>
        <rFont val="Arial"/>
        <family val="2"/>
      </rPr>
      <t xml:space="preserve"> vnější viditelný rozměr:1600x2530mm
- skutečný rozměr rámu:1690x2620mm 
- fixní sklo: 440x2530mm
Profil: SLIM 92 / dřevené okno, Dřevina:smrk 
Barva fixního rámu, Barva otvíravých křídel
Výplň: 4/16/4/16/4 Ug=0,6, Splňuje požadavek Ucelk = 1,20 W/Km2
Sklo: Montáž ve výrobě, Silikon: transparentní
Rám: rám okenní
Kování: pevně v rámu, otvírání/sklápění dle schematu
Křídlo: panel dub
Příčky: příčka dřevěná 65mm/120mm
Okapnice: al+dřevěné překrytí, Těsnění: bílé
Typ kování: skryté panty, svislé madla z vnější strany na celou výši deří RAL dle vzorování, z vnitřní strany klika s panikovou funkcí</t>
    </r>
  </si>
  <si>
    <t>Montáž dřevěných oken a dveří  vč.dopravy a manipulace</t>
  </si>
  <si>
    <t>Montáž vnějších obkladů</t>
  </si>
  <si>
    <t>771</t>
  </si>
  <si>
    <t>771274124</t>
  </si>
  <si>
    <t>Montáž obkladů stupnic z dlaždic protiskluzných keramických flexibilní lepidlo š do 350 mm</t>
  </si>
  <si>
    <t>Obklad venkovní schody 33x90 cm matt</t>
  </si>
  <si>
    <t>771576141</t>
  </si>
  <si>
    <t>Montáž podlah keramických velkoformátových pro mechanické zatížení protiskluzných lepených flexi rychletuhnoucím lepidlem do 4 ks/m2</t>
  </si>
  <si>
    <t>Obklad schodiště 60x120x2 cm textured</t>
  </si>
  <si>
    <t>Obklad malé podesty 33x90 cm matt</t>
  </si>
  <si>
    <t>Obklad velké podesty 33x60 cm grip R12</t>
  </si>
  <si>
    <t>781</t>
  </si>
  <si>
    <t>Dokončovací práce - obklady</t>
  </si>
  <si>
    <t>781774252</t>
  </si>
  <si>
    <t>Montáž obkladů vnějších z dlaždic velkoformátových hladkých keramických do 2 ks/m2 lepených flexibilním lepidlem</t>
  </si>
  <si>
    <t>Obklad soklu 75x150 cm matt</t>
  </si>
  <si>
    <t>Přesun hmot tonážní pro obklady keramické v objektech v do 12 m</t>
  </si>
  <si>
    <t>0,9*12</t>
  </si>
  <si>
    <t>8,64+2,88+0,33*0,9*6</t>
  </si>
  <si>
    <t>Podlahy  a obklady z dlaždic</t>
  </si>
  <si>
    <t>771 + 781</t>
  </si>
  <si>
    <t>R1, R2, R5</t>
  </si>
  <si>
    <t>Falcovaná Al plechová krytina střechy,RAL 1013 mat, tl. 0,7mm</t>
  </si>
  <si>
    <t>764121411</t>
  </si>
  <si>
    <t>Krytina střechy rovné drážkováním ze svitků z Al plechu rš 670 mm sklonu do 30°</t>
  </si>
  <si>
    <t>764222403</t>
  </si>
  <si>
    <t>Oplechování štítu závětrnou lištou z Al plechu rš 250 mm</t>
  </si>
  <si>
    <t>764021402</t>
  </si>
  <si>
    <t>Podkladní plech z Al plechu rš 200 mm - okapový plech</t>
  </si>
  <si>
    <t>764221407R</t>
  </si>
  <si>
    <t>Oplechování větraného hřebene s větrací mřížkou z Al plechu rš 800 mm</t>
  </si>
  <si>
    <t>764221443</t>
  </si>
  <si>
    <t>Oplechování nevětraného nároží s nárožním plechem z Al plechu rš 200 mm</t>
  </si>
  <si>
    <t>764225405R</t>
  </si>
  <si>
    <t>Oplechování napojení na zeď  z Al plechu celoplošně lepené rš 350 mm</t>
  </si>
  <si>
    <t>764021404</t>
  </si>
  <si>
    <t>Podkladní plech z Al plechu rš 330 mm - zatahovací pás</t>
  </si>
  <si>
    <t>764522412</t>
  </si>
  <si>
    <t>Žlab nadřímsový hranatý uložený v hácích se spádovou vložkou z Al plechu rš 1000 mm</t>
  </si>
  <si>
    <t>764525412</t>
  </si>
  <si>
    <t>Žlaby mezistřešní nebo zaatikové uložené v lůžku z Al plechu rš 1200 mm</t>
  </si>
  <si>
    <t>764324412</t>
  </si>
  <si>
    <t>Lemování prostupů střech s krytinou skládanou nebo plechovou bez lišty z Al plechu</t>
  </si>
  <si>
    <t>764326423</t>
  </si>
  <si>
    <t>Lemování ventilačních nástavců z Al plechu  průměru do 150 mm</t>
  </si>
  <si>
    <t>764326423R1</t>
  </si>
  <si>
    <t xml:space="preserve">Nástavec odvětrání </t>
  </si>
  <si>
    <t>764326423R2</t>
  </si>
  <si>
    <t xml:space="preserve">Nalepovací prostup pro falc.střechy   ø80-125 mm </t>
  </si>
  <si>
    <t>764326423R3</t>
  </si>
  <si>
    <t>Nalepovací prostup pro falc.střechy   ø120-170 mm</t>
  </si>
  <si>
    <t>764326424R</t>
  </si>
  <si>
    <t>Lemování ventilačních nástavců z Al plechu  průměru do 350 mm</t>
  </si>
  <si>
    <t>765123122R</t>
  </si>
  <si>
    <t>Ochranná a větrávací mřížka okapové hrany</t>
  </si>
  <si>
    <t>764R1</t>
  </si>
  <si>
    <t>Sněhové zábrany ( dvojitá trubka u okapové hrany )</t>
  </si>
  <si>
    <t>764R2</t>
  </si>
  <si>
    <t>Příplatek za složitost provedení dle požadovaných detailů</t>
  </si>
  <si>
    <t>Přesun hmot tonážní pro konstrukce klempířské v objektech v do 12 m</t>
  </si>
  <si>
    <t>712</t>
  </si>
  <si>
    <t>Povlakové krytiny</t>
  </si>
  <si>
    <t>713151111</t>
  </si>
  <si>
    <t>762341210</t>
  </si>
  <si>
    <t>Montáž bednění střech rovných a šikmých sklonu do 60° z hrubých prken na sraz</t>
  </si>
  <si>
    <t xml:space="preserve">R1 </t>
  </si>
  <si>
    <t>R2</t>
  </si>
  <si>
    <t xml:space="preserve"> R5</t>
  </si>
  <si>
    <t>60515111</t>
  </si>
  <si>
    <t>řezivo jehličnaté boční prkno 20-30mm</t>
  </si>
  <si>
    <t>R5 -  HZS2112</t>
  </si>
  <si>
    <t>Stávající krokev-geometrie nároží bude upravena - HZS  tesař odborný</t>
  </si>
  <si>
    <t>Vyrovnání křivosti krokví dř.latěmi, (dle skutečné potřeby) - HZS  tesař odborný</t>
  </si>
  <si>
    <t>998762102</t>
  </si>
  <si>
    <t>Přesun hmot tonážní pro kce tesařské v objektech v do 12 m</t>
  </si>
  <si>
    <t>Konstrukce klempířské</t>
  </si>
  <si>
    <t>941111122</t>
  </si>
  <si>
    <t>Montáž lešení řadového trubkového lehkého s podlahami zatížení do 200 kg/m2 š do 1,2 m v do 25 m</t>
  </si>
  <si>
    <t>941111222</t>
  </si>
  <si>
    <t>Příplatek k lešení řadovému trubkovému lehkému s podlahami š 1,2 m v 25 m za první a ZKD den použití</t>
  </si>
  <si>
    <t>941111822</t>
  </si>
  <si>
    <t>Demontáž lešení řadového trubkového lehkého s podlahami zatížení do 200 kg/m2 š do 1,2 m v do 25 m</t>
  </si>
  <si>
    <t>944511111</t>
  </si>
  <si>
    <t>Montáž ochranné sítě z textilie z umělých vláken</t>
  </si>
  <si>
    <t>944511211</t>
  </si>
  <si>
    <t>Příplatek k ochranné síti za první a ZKD den použití</t>
  </si>
  <si>
    <t>Demontáž ochranné sítě z textilie z umělých vláken</t>
  </si>
  <si>
    <t>Lešení</t>
  </si>
  <si>
    <t>SO2 - Restaurace a zázemí  1.NP</t>
  </si>
  <si>
    <t>SO5 - Společnský sál s podiem1.NP</t>
  </si>
  <si>
    <t>SO6 - Přístavba technického zázemí 1.NP</t>
  </si>
  <si>
    <t>SA_Prefa</t>
  </si>
  <si>
    <t>SA_SO 08</t>
  </si>
  <si>
    <t>SA_SO 07</t>
  </si>
  <si>
    <t>SA_SO 06</t>
  </si>
  <si>
    <t>SA_SO 05</t>
  </si>
  <si>
    <t>SA_SO 04</t>
  </si>
  <si>
    <t>SO3 - Zasedací místnost zastupitelstva  1.NP</t>
  </si>
  <si>
    <t>SA_SO 03</t>
  </si>
  <si>
    <t>SA_SO 02</t>
  </si>
  <si>
    <t>SA_SO 01</t>
  </si>
  <si>
    <t>Půdní prostor</t>
  </si>
  <si>
    <t>Přesun hmot tonážní pro kce tesařské v objektech do 12 m</t>
  </si>
  <si>
    <t>Půdní prostor 3.NP</t>
  </si>
  <si>
    <t>783943171R</t>
  </si>
  <si>
    <t>783947161R</t>
  </si>
  <si>
    <t xml:space="preserve">Penetrační polyuretanový nátěr </t>
  </si>
  <si>
    <t>Chodba 2.NP</t>
  </si>
  <si>
    <t>Stávající kamenné schodiště bude kompletně vyčištěno, vyspraveno, zrepasováno zbroušením  opemrlováním pneumatickou jehličkou.</t>
  </si>
  <si>
    <t>HZS1302</t>
  </si>
  <si>
    <t>Uložný prostor pod podiem, konstrukce podia, rozměr 4450/7400 včetně vozíku, posuvných dveří z PDP</t>
  </si>
  <si>
    <t>1.24</t>
  </si>
  <si>
    <t>1.25</t>
  </si>
  <si>
    <t>1.26</t>
  </si>
  <si>
    <t>1.27</t>
  </si>
  <si>
    <t>1.28</t>
  </si>
  <si>
    <t>1.29</t>
  </si>
  <si>
    <t>1.30</t>
  </si>
  <si>
    <t>1.31</t>
  </si>
  <si>
    <t>1.32</t>
  </si>
  <si>
    <t>1.33</t>
  </si>
  <si>
    <t>1.34</t>
  </si>
  <si>
    <t>1.35</t>
  </si>
  <si>
    <t>1.36</t>
  </si>
  <si>
    <t>1.37</t>
  </si>
  <si>
    <t>1.38</t>
  </si>
  <si>
    <t>971033651</t>
  </si>
  <si>
    <t>Vybourání otvorů ve zdivu cihelném pl do 4 m2 na MVC nebo MV tl do 600 mm</t>
  </si>
  <si>
    <t>0,6*1,97*6</t>
  </si>
  <si>
    <t>962031132</t>
  </si>
  <si>
    <t>Bourání příček z cihel pálených na MVC tl do 100 mm</t>
  </si>
  <si>
    <t>(2,7+4,6+1,65+1,45+1,8+1,45+1,45+1,8+3,2+1,45+1,1)*2,7-0,6*1,97*6</t>
  </si>
  <si>
    <t>725110811</t>
  </si>
  <si>
    <t>Demontáž klozetů splachovací s nádrží</t>
  </si>
  <si>
    <t>soubor</t>
  </si>
  <si>
    <t>725130811</t>
  </si>
  <si>
    <t>Demontáž pisoárových stání s nádrží jednodílných</t>
  </si>
  <si>
    <t>725210821</t>
  </si>
  <si>
    <t>Demontáž umyvadel bez výtokových armatur</t>
  </si>
  <si>
    <t>strop</t>
  </si>
  <si>
    <t>12,8+11,4</t>
  </si>
  <si>
    <t>(1,4+1,4+1,9+0,8+11,2)*2</t>
  </si>
  <si>
    <t>Otlučení (osekání) vnitřní vápenné nebo vápenocementové omítky stěn v rozsahu do 100 %</t>
  </si>
  <si>
    <t>Odsekání a odebrání obkladů stěn z vnitřních obkládaček plochy přes 1 m2</t>
  </si>
  <si>
    <t>24,2*0,1</t>
  </si>
  <si>
    <t>24,2*0,15</t>
  </si>
  <si>
    <t xml:space="preserve">Vyvěšení dveřních křídel pl.do 2m2 </t>
  </si>
  <si>
    <t>Poplatek za uložení stavebního odpadu na recyklační skládce (skládkovné) zeminy a kamení kód odpadu  17 05 04</t>
  </si>
  <si>
    <t>Vodorovné přemístění výkopku  z horniny třídy těžitelnosti I, skupiny 1 až 3 stavebním kolečkem do 10 m</t>
  </si>
  <si>
    <t>Příplatek k vodorovnému přemístění výkopku   z horniny třídy těžitelnosti I, skupiny 1 až 3 stavebním kolečkem ZKD 10 m</t>
  </si>
  <si>
    <t>Nakládání výkopku  z hornin třídy těžitelnosti I, skupiny 1 až 3 ručně</t>
  </si>
  <si>
    <t>Poplatek za uložení zeminy a kamení  na recyklační  skládce (skládkovné) kód odpadu 17 05 04</t>
  </si>
  <si>
    <t>5,4*1,8</t>
  </si>
  <si>
    <t>342272245</t>
  </si>
  <si>
    <t>Příčka z pórobetonových hladkých tvárnic na tenkovrstvou maltu tl 150 mm</t>
  </si>
  <si>
    <t>0,6*0,9*0,5*2+0,216*2</t>
  </si>
  <si>
    <t>Dodatečná izolace zdiva injektáží beztlakovou infuzí, tloušťka zdiva přes 300 do 600 mm</t>
  </si>
  <si>
    <t>271532212</t>
  </si>
  <si>
    <t>Podsyp pod základové konstrukce se zhutněním z hrubého kameniva frakce 16 až 32 mm</t>
  </si>
  <si>
    <t>213141111</t>
  </si>
  <si>
    <t>Zřízení vrstvy z geotextilie v rovině nebo ve sklonu do 1:5 š do 3 m</t>
  </si>
  <si>
    <t>69311228</t>
  </si>
  <si>
    <t>geotextilie netkaná separační, ochranná, filtrační, drenážní PES 250g/m2</t>
  </si>
  <si>
    <t>273321511</t>
  </si>
  <si>
    <t>711191011</t>
  </si>
  <si>
    <t>Provedení adhezního můstku na svislé ploše</t>
  </si>
  <si>
    <t>58581220</t>
  </si>
  <si>
    <t>adhezní můstek pod izolační a vyrovnávací lepící hmoty</t>
  </si>
  <si>
    <t>711192202</t>
  </si>
  <si>
    <t>Provedení izolace proti zemní vlhkosti hydroizolační stěrkou svislé na zdivu, 2 vrstvy</t>
  </si>
  <si>
    <t>11163001</t>
  </si>
  <si>
    <t>stěrka hydroizolační asfaltová dvousložková do spodní stavby</t>
  </si>
  <si>
    <t>58585000</t>
  </si>
  <si>
    <t>adhezní můstek pro savé i nesavé podklady</t>
  </si>
  <si>
    <t>Provedení izolace proti zemní vlhkosti hydroizolační stěrkou vodorovné na betonu, 2 vrstvy</t>
  </si>
  <si>
    <t>Montáž izolace tepelné podlah volně kladenými rohožemi, pásy, dílci, deskami 2 vrstvy</t>
  </si>
  <si>
    <t>deska z polystyrénu XPS, hrana polodrážková a hladký povrch s vyšší odolností tl 60mm</t>
  </si>
  <si>
    <t>713121211</t>
  </si>
  <si>
    <t>Montáž izolace tepelné podlah volně kladenými okrajovými pásky</t>
  </si>
  <si>
    <t>63140274</t>
  </si>
  <si>
    <t>pásek okrajový izolační minerální plovoucích podlah š 120mm tl 12mm</t>
  </si>
  <si>
    <t>Izolace pod dlažbu nátěrem nebo stěrkou ve dvou vrstvách</t>
  </si>
  <si>
    <t>Izolace pod obklad nátěrem nebo stěrkou ve dvou vrstvách</t>
  </si>
  <si>
    <t>781474152</t>
  </si>
  <si>
    <t>Montáž obkladů vnitřních keramických velkoformátových hladkých do 2 ks/m2 lepených flexibilním lepidlem</t>
  </si>
  <si>
    <t>24,2*1,1</t>
  </si>
  <si>
    <t>24,2*1,15</t>
  </si>
  <si>
    <t>Základové desky ze ŽB bez zvýšených nároků na prostředí tř. C 25/30, tl.100 mm</t>
  </si>
  <si>
    <t>24,2*5,18*1,2*0,001</t>
  </si>
  <si>
    <t>Penetrační  nátěr - mineralizace podkladu</t>
  </si>
  <si>
    <t>783823135R</t>
  </si>
  <si>
    <t>612822021</t>
  </si>
  <si>
    <t>Potažení štukem kapilárně aktivní omítky tloušťky do 2 mm</t>
  </si>
  <si>
    <t>Kapilárně aktivní sanační omítka vnitřních stěn tloušťky 35 mm včetně sklovláknitého pletiva</t>
  </si>
  <si>
    <t>764001821</t>
  </si>
  <si>
    <t>Demontáž krytiny ze svitků nebo tabulí do suti</t>
  </si>
  <si>
    <t>764002811</t>
  </si>
  <si>
    <t>Demontáž okapového plechu do suti v krytině povlakové</t>
  </si>
  <si>
    <t>764002851</t>
  </si>
  <si>
    <t>Demontáž oplechování parapetů do suti</t>
  </si>
  <si>
    <t>764004863</t>
  </si>
  <si>
    <t>Demontáž svodu k dalšímu použití</t>
  </si>
  <si>
    <t>762822810</t>
  </si>
  <si>
    <t>Demontáž stropních trámů z hraněného řeziva průřezové plochy do 144 cm2</t>
  </si>
  <si>
    <t>762841812</t>
  </si>
  <si>
    <t>Demontáž podbíjení obkladů stropů a střech sklonu do 60° z hrubých prken s omítkou</t>
  </si>
  <si>
    <t>12*3,25</t>
  </si>
  <si>
    <t>Provedení adhezního můstku na svislé ploše ( do živé stěrky)</t>
  </si>
  <si>
    <t>Strop tl.200 mm bez nabetonávky z porobetonových vložek a nosníků dl. do 4,8 m, osová vzdálenost do 680 mm</t>
  </si>
  <si>
    <t>725 00R</t>
  </si>
  <si>
    <t>Demontáž ostatních armatur</t>
  </si>
  <si>
    <t>stáv.stěny</t>
  </si>
  <si>
    <t>(12,1+3,8+3,1)*1,3</t>
  </si>
  <si>
    <t xml:space="preserve"> do úrovně clon. vrtů</t>
  </si>
  <si>
    <t>nad clon.vrty</t>
  </si>
  <si>
    <t>(12,1+3,8+3,1)*0,45</t>
  </si>
  <si>
    <t>(12,1+3,8+3,1)*2,0</t>
  </si>
  <si>
    <t>(12,1+3,8+3,1)*3,15</t>
  </si>
  <si>
    <t>Kapilárně aktivní sanační omítka vnitřních stěn tloušťky 20 mm včetně sklovláknitého pletiva</t>
  </si>
  <si>
    <t>612822011R02</t>
  </si>
  <si>
    <t>612822011R01</t>
  </si>
  <si>
    <t>611142001</t>
  </si>
  <si>
    <t>Potažení vnitřních stropů sklovláknitým pletivem vtlačeným do tenkovrstvé hmoty</t>
  </si>
  <si>
    <t>611321121</t>
  </si>
  <si>
    <t>Vápenocementová omítka hladká jednovrstvá vnitřních stropů rovných nanášená ručně</t>
  </si>
  <si>
    <t>nové příčky</t>
  </si>
  <si>
    <t>Samostatný paraván mezi pisoáry a umyvadlem v prostoru WC MUŽI - ypové řešení z konstrukčních desek compact opatřených HPL - bude předmětem vzorování
- řešeny jako samonosné sanitární příčky z montovaného systému na stavitelné nerezové nožky - S.H. +0,150 x H.H. +2,030
- celkem 2ks - dl. 870mm
- barevnost desky olivově zelená dle vzorování
- nosný systém řešen kotevnými nerezovými prvky - kotveno do stěn a podlahy</t>
  </si>
  <si>
    <t>Samostatné kabinky v prostoru WC MUŽI - typové řešení z konstrukčních desek compact opatřených HPL - bude předmětem vzorování
- řešeny jako samonosné sainitární příčky z montovaného systému na stavitelné nerezové nožky - S.H. +0,150 x H.H. +2,030
- čelní příčka s dveřmi - dl. 2750mm
- dělicí příčka mezi kabinami - dl. 1050 mm
Členění:
- celkem 2 samostatné kabinky celkové výšky v. 2030 mm
- 2x dveře rozměru š.700, otvírání dovnitř, Z vnitřní strany profrézovaný motiv zajíčka opatřen mléčným neprůhledným plexisklem.
- barevnost desky olivově zelená dle vzorování (bude předložen vzorník). 
- kování nerez, výběr dle vzorování.
- nosný systém řešen kotevnými nerezovými prvky - kotveno do stěn a podlahy
- 2x WC zámek</t>
  </si>
  <si>
    <t>Samostatné kabinky v prostoru WC ŽENY - typové řešení z konstrukčních desek compact opatřených HPL - bude předmětem vzorování
- řešeny jako samonosné sainitární příčky z montovaného systému na stavitelné nerezové nožky - S.H. +0,150 x H.H. +2,030
- čelní příčka s dveřmi - dl. 2750mm
- dělicí příčka mezi kabinami - dl. 1610 mm  + 1365 mm
Členění:
- celkem 3 samostatné kabinky celkové výšky v. 2030 mm
- 3x dveře rozměru š.700, otvírání dovnitř, Z vnitřní strany profrézovaný motiv zajíčka opatřen mléčným plexisklem.
- růžová, dle vzorování (bude předložen vzorník)
- kování nerez, výběr dle vzorování.
- nosný systém řešen kotevnými nerezovými prvky - kotveno do stěn a podlahy
- 3x WC zámek</t>
  </si>
  <si>
    <t>Stěny a strop</t>
  </si>
  <si>
    <t>Separační vrstva z PE fólie</t>
  </si>
  <si>
    <t>Provedení izolace proti zemní vlhkosti vodorovné za studena lakem asfaltovým</t>
  </si>
  <si>
    <t>lak hydroizolační asfaltový</t>
  </si>
  <si>
    <t>23,7*1,15</t>
  </si>
  <si>
    <t>27,3*1,15</t>
  </si>
  <si>
    <t>stěrka hydroizolační asfaltová dvousložková do spodní stavby (napojení v rohu stěny - těsnící klínek)</t>
  </si>
  <si>
    <t>763131451</t>
  </si>
  <si>
    <t>Montáž izolace tepelné vrchem stropů volně kladenými rohožemi, pásy, dílci, deskami</t>
  </si>
  <si>
    <t>pás tepelně  izolační univerzální tl.100 mm</t>
  </si>
  <si>
    <t>Montáž izolace tepelné parotěsné zábrany stropů  vrchem folií</t>
  </si>
  <si>
    <t>folie PE vyztužená pro parotěsnou vrstvu (reakce na oheň - třída F) 140g/m2</t>
  </si>
  <si>
    <t>SDK podhled deska 1xH2 12,5 bez izolace dvouvrstvá spodní kce profil CD+UD, kotveno do nosné stropní konstrukce</t>
  </si>
  <si>
    <t>(15,6+13,1-1,4)*1,1</t>
  </si>
  <si>
    <t>5.22</t>
  </si>
  <si>
    <t>5.23</t>
  </si>
  <si>
    <t>5.24</t>
  </si>
  <si>
    <t>5.26</t>
  </si>
  <si>
    <t>5.27</t>
  </si>
  <si>
    <t>5.28</t>
  </si>
  <si>
    <t>5.29</t>
  </si>
  <si>
    <t>dlažba velkoformátová keramická slinutá přes 0,5 do 2 ks/m2 - kalibrovaná 60x60, tl. 12mm  R10 barva dle specifikace projektu</t>
  </si>
  <si>
    <t>Dokončovací práce -  malby</t>
  </si>
  <si>
    <t>(3,8+3,1+12,1+3,5*2+3,0)*2,6-0,43*0,9*6+0,485*(0,9*2+0,43*2)-0,75*2,1*2</t>
  </si>
  <si>
    <t>Obklady keramické    60x60 cm R10</t>
  </si>
  <si>
    <t>71,22*1,05</t>
  </si>
  <si>
    <t>781R01</t>
  </si>
  <si>
    <t>(0,43*0,9)*6</t>
  </si>
  <si>
    <t>SDK stěna předsazená tl.62,5 mm, profil CW+UW 50 deska 1xA 12,5 bez izolace EI 15  -  protiprašné opatření</t>
  </si>
  <si>
    <t>Čištění vnitřních ploch oken dvojitých nebo zdvojených po provedení malířských prací</t>
  </si>
  <si>
    <t xml:space="preserve">Čištění vnitřních ploch podlah po provedení malířských prací </t>
  </si>
  <si>
    <t>HZS1312</t>
  </si>
  <si>
    <t>949101111</t>
  </si>
  <si>
    <t>Lešení pomocné pro objekty pozemních staveb s lešeňovou podlahou v do 1,9 m zatížení do 150 kg/m2</t>
  </si>
  <si>
    <t>1,0*2,2*2</t>
  </si>
  <si>
    <t>0,6*1,97*2+0,8*1,97*5+0,9*1,97*1</t>
  </si>
  <si>
    <t>Vybourání kovových dveřních zárubní pl.přes 2 m2</t>
  </si>
  <si>
    <t>Bourání příček z cihel pálených na MVC tl do 150 mm</t>
  </si>
  <si>
    <t>9,46*3,6-0,925*2,0-3,75*2,15</t>
  </si>
  <si>
    <t>(4,5+4,3+2,3+0,9+3,2+1,2+2,2+3,7+1,2+3,0+0,9+3,9+3,5+0,8)*1,5</t>
  </si>
  <si>
    <t>766R01</t>
  </si>
  <si>
    <t>Stávající koženkové shrnovací posuvné dveře, dvojkřídlé - demontovat 3750x2150 mm</t>
  </si>
  <si>
    <t>Vybourání otvorů ve zdivu cihelném pl do 4 m2 na MVC nebo MV tl do 900 mm</t>
  </si>
  <si>
    <t>(1,8+1,2)*2+(9,9+3,6+4,4+1,6)*1,5</t>
  </si>
  <si>
    <t>2,2*0,65*0,65*3+2,2*1,0*0,65+2,85*0,75*0,65+0,45*0,55*0,65</t>
  </si>
  <si>
    <t>1,05*0,4*0,5</t>
  </si>
  <si>
    <t>(1,5+2,7)*2,7-0,6*1,97</t>
  </si>
  <si>
    <t>962031133</t>
  </si>
  <si>
    <t>(1,8+1,2)*1,6+(9,7+4,7+13,4+43,6)*2,3+25,5*0,8-0,8*1,97*9-0,6*1,97*2-0,8*0,8*3</t>
  </si>
  <si>
    <t>Otlučení (osekání) vnitřní vápenné nebo vápenocementové omítky stěn v rozsahu do 30 %</t>
  </si>
  <si>
    <t>(9,7+4,7+13,4+43,6)*1,3+25,5*1,3</t>
  </si>
  <si>
    <t>6*3,25</t>
  </si>
  <si>
    <t>5,8+7,5</t>
  </si>
  <si>
    <t>978011191</t>
  </si>
  <si>
    <t>Otlučení (osekání) vnitřní vápenné nebo vápenocementové omítky stropů v rozsahu do 30 %</t>
  </si>
  <si>
    <t>775511800</t>
  </si>
  <si>
    <t>Demontáž podlah vlysových lepených s lištami lepenými do suti</t>
  </si>
  <si>
    <t>53,0+58,0</t>
  </si>
  <si>
    <t>(53,0+58,0)*0,1</t>
  </si>
  <si>
    <t>111,0*0,15</t>
  </si>
  <si>
    <t>(53,0+58,0)*0,125</t>
  </si>
  <si>
    <t>13,88*1,8</t>
  </si>
  <si>
    <t>1,6*11,1*1,08*3*0,001</t>
  </si>
  <si>
    <t>1,6*0,5*0,15</t>
  </si>
  <si>
    <t>1,0+1,0</t>
  </si>
  <si>
    <t>(2,75+1,52+1,82)*2,7-0,6*1,97*2</t>
  </si>
  <si>
    <t>1,8*2,7</t>
  </si>
  <si>
    <t>3,0*2,7</t>
  </si>
  <si>
    <t>D 1.1/L-D</t>
  </si>
  <si>
    <t>D 1.3/L-D</t>
  </si>
  <si>
    <t>IPN č.12</t>
  </si>
  <si>
    <t>1,5*1,2*0,3+0,9*2,0*0,3+1,285*2,0*0,3</t>
  </si>
  <si>
    <t>IPN č.14</t>
  </si>
  <si>
    <t>Válcované nosníky č.14 až  22 dodatečně osazované do připravených otvorů</t>
  </si>
  <si>
    <t>1,9*14,4*1,08*1*0,001</t>
  </si>
  <si>
    <t>1,3*11,1*1,08*2*0,001+1,4*11,1*1,08*3*0,001</t>
  </si>
  <si>
    <t>3,75*2,15+1,6*2,0</t>
  </si>
  <si>
    <t>766R02</t>
  </si>
  <si>
    <t>Stávající koženkové skládací dveře 4-dílné - demontovat.
2850x2900 mm</t>
  </si>
  <si>
    <t>IPN č.18</t>
  </si>
  <si>
    <t>3,5*21,9*1,08*3*0,001</t>
  </si>
  <si>
    <t>3,5*0,65*0,25</t>
  </si>
  <si>
    <t>0,75*11,1*1,08*3*0,001</t>
  </si>
  <si>
    <t>4+6+6</t>
  </si>
  <si>
    <t>IPN č.16</t>
  </si>
  <si>
    <t>2,7*17,9*1,08*4*0,001</t>
  </si>
  <si>
    <t>1,9*0,2*0,2</t>
  </si>
  <si>
    <t>1,3*0,3*0,15+1,5*0,15*0,5</t>
  </si>
  <si>
    <t>2,7*0,65*0,2</t>
  </si>
  <si>
    <t>IPN č.16+18</t>
  </si>
  <si>
    <t>8+6</t>
  </si>
  <si>
    <t>((2,75+1,52+1,82)*2,7-0,6*1,97*2)*2</t>
  </si>
  <si>
    <t>zazdívky</t>
  </si>
  <si>
    <t>(0,8*2,0+1,5*1,2+1,35*2,0)*2</t>
  </si>
  <si>
    <t>(11,7+1,8+1,6+3,8+3,6+5,8+23,9+37,9)*0,45</t>
  </si>
  <si>
    <t>(11,7+1,8+1,6+3,8+3,6+5,8+23,9+37,9)*3,15</t>
  </si>
  <si>
    <t>(11,7+1,8+1,6+3,8+3,6+5,8+23,9+37,9)*2,0</t>
  </si>
  <si>
    <t>(11,7+1,8+1,6+3,8+3,6+5,8+23,9+37,9)*3,5</t>
  </si>
  <si>
    <t>612325422</t>
  </si>
  <si>
    <t>(11,7+1,8+1,6+3,8+3,6+5,8+23,9+37,9)*3,6</t>
  </si>
  <si>
    <t>Potažení vnitřních rovných stropů vápenným štukem tl. do 3 mm</t>
  </si>
  <si>
    <t>(7,5+5,6+3,4+1,2+2,9+33,6+68,1)*0,1</t>
  </si>
  <si>
    <t>(7,5+5,6+3,4+1,2+2,9+33,6+68,1)*1,1</t>
  </si>
  <si>
    <t>122,3*1,15</t>
  </si>
  <si>
    <t>122,3*5,18*1,2*0,001</t>
  </si>
  <si>
    <t>1,2+2,8+3,4+33,6+58,0+57,2</t>
  </si>
  <si>
    <t>1,2+5,8+7,8+3,4+2,8+33,6</t>
  </si>
  <si>
    <t>57,2+58,0</t>
  </si>
  <si>
    <t>53,0+58,0+57,2</t>
  </si>
  <si>
    <t>632683112</t>
  </si>
  <si>
    <t>Sešívání trhlin v betonových podlahách ocelovými sponkami ve vzdálenosti přes 10 do 15 cm</t>
  </si>
  <si>
    <t>965046111</t>
  </si>
  <si>
    <t>Broušení stávajících betonových podlah úběr do 3 mm</t>
  </si>
  <si>
    <t>Vyspravení betonových podlah rychletuhnoucím polymerem  vysprávka průměr do 50 mm tl.do 20 mm</t>
  </si>
  <si>
    <t>50,2*0,2</t>
  </si>
  <si>
    <t>(7,5+5,6+3,4+1,2+2,9+33,6+68,1+50,2)*1,1</t>
  </si>
  <si>
    <t>(7,5+5,6+3,4+1,2+2,9+33,6+68,1+50,2)</t>
  </si>
  <si>
    <t>(7,5+5,6+3,4+1,2+2,9+33,6+68,1)</t>
  </si>
  <si>
    <t>(10,8+9,7+13,4+25,5+46,8)*1,1</t>
  </si>
  <si>
    <t>(7,5+5,6+3,4+1,2+2,9+33,6+68,1)*1,15</t>
  </si>
  <si>
    <t>pás tepelně  izolační pro všechny druhy nezatížených izolací  tl.50 mm</t>
  </si>
  <si>
    <t>deska  spec.akustická jednostranně kašírovaná černou netkanou textilií,  tl.50 mm</t>
  </si>
  <si>
    <t>763131555R</t>
  </si>
  <si>
    <t>763131411</t>
  </si>
  <si>
    <t>AKU podhled</t>
  </si>
  <si>
    <t>713291132R</t>
  </si>
  <si>
    <t>Montáž izolace tepelné parotěsné zábrany stropů  vrchem folií (u stěn kontaktně lepená na stávající omítku)</t>
  </si>
  <si>
    <t>(5,6+7,5)*1,1</t>
  </si>
  <si>
    <t>(3,4+2,9+33,6+68,1+50,2)*1,1</t>
  </si>
  <si>
    <t>(5,6+7,5+3,4+2,9+33,6+68,1+50,2)*1,15</t>
  </si>
  <si>
    <t>(5,6+7,5+3,4+2,9+33,6)</t>
  </si>
  <si>
    <t>(68,1+50,2)</t>
  </si>
  <si>
    <t>(5,6+7,5+3,4+2,9+33,6)*1,02</t>
  </si>
  <si>
    <t>(68,1+50,2)*1,1</t>
  </si>
  <si>
    <t>5,6+7,5+3,4+2,9+33,6</t>
  </si>
  <si>
    <t>W1.4</t>
  </si>
  <si>
    <t>H.H. opatřena dubovým hranůlkem 30x40mm, PU lak, mat</t>
  </si>
  <si>
    <t>Plně omyvatelný nátěr polomat, NCS S 4020-G50Y</t>
  </si>
  <si>
    <t>783801543R</t>
  </si>
  <si>
    <t>766427112R</t>
  </si>
  <si>
    <t>(6,3+6,4+6,0+4,2+4,6)*1,5</t>
  </si>
  <si>
    <t xml:space="preserve">Provedení adhezního můstku na svislé ploše </t>
  </si>
  <si>
    <t>(6,3+6,4+6,0+4,2+4,6)*1,05</t>
  </si>
  <si>
    <t>m.č. 1.03</t>
  </si>
  <si>
    <t>(7,0+2,0+2,3+1,8)*2,6+1,5*0,6+0,9*0,6</t>
  </si>
  <si>
    <t>m.č.1.11</t>
  </si>
  <si>
    <t>m.č.1.06</t>
  </si>
  <si>
    <t>(4,6+18,9)*2,0</t>
  </si>
  <si>
    <t>82,5*1,05</t>
  </si>
  <si>
    <t>Podlahy z vlysů lepených, tl do 22 mm, - Dubové sendvič.parkety 730x120 - dle vzorování, tl. 15mm 
(řezané a skládané do vzoru "V")</t>
  </si>
  <si>
    <t>775511611</t>
  </si>
  <si>
    <t>775599110</t>
  </si>
  <si>
    <t>Podlahy dřevěné, pastování</t>
  </si>
  <si>
    <t>(5,6+7,5+1,2+3,4+2,9+33,6)</t>
  </si>
  <si>
    <t>776121321</t>
  </si>
  <si>
    <t>Vodou ředitelná penetrace savého podkladu povlakových podlah neředěná</t>
  </si>
  <si>
    <t>776121511</t>
  </si>
  <si>
    <t>Dvousložková penetrace podkladu povlakových podlah proti vlhkosti</t>
  </si>
  <si>
    <t>776141111</t>
  </si>
  <si>
    <t>Vyrovnání podkladu povlakových podlah stěrkou pevnosti 20 MPa tl 3 mm</t>
  </si>
  <si>
    <t>998776102</t>
  </si>
  <si>
    <t>Přesun hmot tonážní pro podlahy povlakové v objektech v do 12 m</t>
  </si>
  <si>
    <t>Vnitřní čistící rohož z přírodního kokosového vlákna je vsazena do nerezového rámečku v líci s podlahou</t>
  </si>
  <si>
    <t>776262121R</t>
  </si>
  <si>
    <t>D - 08</t>
  </si>
  <si>
    <t>Nové interiérové dveře 2-křídlé,  š.960 mm x v.1970 mm, 
- oboustranně kyvné
- v obložkové zárubni, viz. samostatný výkres
- dveřní křídlo - masivní rám s voštinovou výplní
- povrchová úprava - dyhováno, polyuretan.lak natur efekt hluboký mat s otevřeným porem. Částečné prosklení s polopropustnou bezpečnostní folií.
- interiérové dveře bez certifiokované bezpečnostní odolnosti
- otevírací mechanismus - boční 3D panty skryté</t>
  </si>
  <si>
    <t>2,5*2,2+3,0*3,0</t>
  </si>
  <si>
    <t>1,9*2,4*3+1,8*2,5+1,7*2,0+1,07*0,985*1+1,02*2,26*2+0,97*2,03*1</t>
  </si>
  <si>
    <t>43,8*2,0+25,7*1,0+10,2*3,5+7,4*2,6+7,5*2,6+4,4*3,0+12,5*2,6</t>
  </si>
  <si>
    <t>12</t>
  </si>
  <si>
    <t>13</t>
  </si>
  <si>
    <r>
      <t xml:space="preserve">Autor: </t>
    </r>
    <r>
      <rPr>
        <b/>
        <sz val="9"/>
        <rFont val="Arial"/>
        <family val="2"/>
      </rPr>
      <t xml:space="preserve"> Ing. R. Bláha, Z. Sychrová
</t>
    </r>
    <r>
      <rPr>
        <sz val="9"/>
        <rFont val="Arial"/>
        <family val="2"/>
      </rPr>
      <t>Datum zpracování:</t>
    </r>
    <r>
      <rPr>
        <b/>
        <sz val="9"/>
        <rFont val="Arial"/>
        <family val="2"/>
      </rPr>
      <t xml:space="preserve"> 03/2021
</t>
    </r>
    <r>
      <rPr>
        <sz val="9"/>
        <rFont val="Arial"/>
        <family val="2"/>
      </rPr>
      <t>Revize:</t>
    </r>
    <r>
      <rPr>
        <b/>
        <sz val="9"/>
        <rFont val="Arial"/>
        <family val="2"/>
      </rPr>
      <t xml:space="preserve"> 0
</t>
    </r>
  </si>
  <si>
    <t>1.39</t>
  </si>
  <si>
    <t>1.40</t>
  </si>
  <si>
    <t>1.41</t>
  </si>
  <si>
    <t>1.42</t>
  </si>
  <si>
    <t>1.43</t>
  </si>
  <si>
    <t>1.44</t>
  </si>
  <si>
    <t>1.45</t>
  </si>
  <si>
    <t>1.46</t>
  </si>
  <si>
    <t>5.25</t>
  </si>
  <si>
    <t>5.31</t>
  </si>
  <si>
    <t>5.32</t>
  </si>
  <si>
    <t>5.33</t>
  </si>
  <si>
    <t>5.34</t>
  </si>
  <si>
    <t>5.35</t>
  </si>
  <si>
    <t>5.36</t>
  </si>
  <si>
    <t>5.37</t>
  </si>
  <si>
    <t>5.38</t>
  </si>
  <si>
    <t>5.39</t>
  </si>
  <si>
    <t>6.13</t>
  </si>
  <si>
    <t>12.1</t>
  </si>
  <si>
    <t>12.2</t>
  </si>
  <si>
    <t>12.3</t>
  </si>
  <si>
    <t>12.4</t>
  </si>
  <si>
    <t>12.5</t>
  </si>
  <si>
    <t>12.6</t>
  </si>
  <si>
    <t>13.1</t>
  </si>
  <si>
    <t>13.2</t>
  </si>
  <si>
    <t>13.3</t>
  </si>
  <si>
    <t>13.4</t>
  </si>
  <si>
    <t>13.5</t>
  </si>
  <si>
    <t>13.6</t>
  </si>
  <si>
    <t>13.7</t>
  </si>
  <si>
    <t>(4,5+9,3+2,7+4,3)*1,5</t>
  </si>
  <si>
    <t>0,8*0,3*0,4+0,75*0,4*0,4+0,3*2,45*0,4+0,28*2,3*1,1</t>
  </si>
  <si>
    <t>2,3*0,3*0,65</t>
  </si>
  <si>
    <t>Oškrábání malby v místnostech výšky do 3,80 m</t>
  </si>
  <si>
    <t>Rozmývání podkladu po oškrábání malby v místnostech výšky do 3,80 m</t>
  </si>
  <si>
    <t>P1.6</t>
  </si>
  <si>
    <t>5.40</t>
  </si>
  <si>
    <t>5.41</t>
  </si>
  <si>
    <t>5.42</t>
  </si>
  <si>
    <t>F1.1a</t>
  </si>
  <si>
    <t>23,7*5,18*1,2*0,001</t>
  </si>
  <si>
    <t>172,5*5,18*1,2*0,001</t>
  </si>
  <si>
    <t>Bourání podlah z dlaždic keramických nebo xylolitových tl přes 10 mm plochy přes1 m2</t>
  </si>
  <si>
    <t>Bourání podlah z dlaždic keramických nebo xylolitových tl přes 10 mm plochy přes 1 m2</t>
  </si>
  <si>
    <t>0,7*1,97*1</t>
  </si>
  <si>
    <t>Vybourání stěn dřevěných plných, zasklených nebo výkladních pl.do 2m2</t>
  </si>
  <si>
    <t>1,4*1,2</t>
  </si>
  <si>
    <t>1.47</t>
  </si>
  <si>
    <t>104,51*10</t>
  </si>
  <si>
    <t>10,97*10</t>
  </si>
  <si>
    <t>1,07*1,2*0,5</t>
  </si>
  <si>
    <t>1,2*11,1*1,08*7*0,001</t>
  </si>
  <si>
    <t>2,8*17,9*1,08*4*0,001</t>
  </si>
  <si>
    <t>1,2*0,47*0,15*3</t>
  </si>
  <si>
    <t>2,8*0,65*0,2</t>
  </si>
  <si>
    <t>4+4+6</t>
  </si>
  <si>
    <t>41,0*0,2</t>
  </si>
  <si>
    <t>41*5,18*1,2*0,001</t>
  </si>
  <si>
    <t>41*1,1</t>
  </si>
  <si>
    <t>41,0*1,15</t>
  </si>
  <si>
    <t>Oprava vnitřní vápenocementové štukové omítky stropů v rozsahu plochy do 30%</t>
  </si>
  <si>
    <t>26,2*0,40</t>
  </si>
  <si>
    <t>26,2*2,3</t>
  </si>
  <si>
    <t>(26,2)*1,3+2,85*0,7</t>
  </si>
  <si>
    <t>26,2*1,9</t>
  </si>
  <si>
    <t>26,2*2,2</t>
  </si>
  <si>
    <t>(1,07*1,2)</t>
  </si>
  <si>
    <t>(4,3+3,0+14,1)*1,5</t>
  </si>
  <si>
    <t>(4,3+3,0+14,1)*1,05</t>
  </si>
  <si>
    <t>Nová interiérová zatemňovací roleta typu Isotra Black Out, elektromotoricky ovládané. 2100x1750 mm</t>
  </si>
  <si>
    <t>41,0+36,1</t>
  </si>
  <si>
    <t>m.č. 1.02</t>
  </si>
  <si>
    <t>1,2+3,4+2,9+33,6+118,3+37,2*0,6</t>
  </si>
  <si>
    <t>12.7</t>
  </si>
  <si>
    <t>12.8</t>
  </si>
  <si>
    <t>2,06*1,75+0,75*2,4+32,1</t>
  </si>
  <si>
    <t>27,6*3,6+41,0-32,1</t>
  </si>
  <si>
    <t>Malby protiplísňové dvojnásobné, bílé v místnostech výšky do 3,80 m - RAL dle vzorování</t>
  </si>
  <si>
    <t>1,2*2,5+3,0*3,0</t>
  </si>
  <si>
    <t>2,06*1,75</t>
  </si>
  <si>
    <t>4.36</t>
  </si>
  <si>
    <t>548,9*0,3</t>
  </si>
  <si>
    <t>548,90*1,1</t>
  </si>
  <si>
    <t>dlažba velkoformátová keramická slinutá přes 0,5 do 2 ks/m2 - rektifikovaná dlažba  R10 75x75 cm</t>
  </si>
  <si>
    <t xml:space="preserve">Krycí dvojnásobný polyuretanový  nátěr  - zpevňovač kamene. </t>
  </si>
  <si>
    <t>5,4+1,2*0,17*12+6,3+1,2*0,17*13+4,9+1,2*0,17*11+1,5+0,9*0,2*10+2,2</t>
  </si>
  <si>
    <t>Schodiště</t>
  </si>
  <si>
    <t>2,NP</t>
  </si>
  <si>
    <t xml:space="preserve">Osazování protipožárních nebo protiplynových zárubní dveří jednokřídlových   do 2,5 m2 </t>
  </si>
  <si>
    <t>Montáž dveří ocelových vnitřních jednokřídlových vč.zárubně</t>
  </si>
  <si>
    <t>Osazování ocelových zárubní dodatečné pl. do 2,5 m2</t>
  </si>
  <si>
    <t>D 3.1</t>
  </si>
  <si>
    <r>
      <t>Nové interiérové dveře jednokřídlé, š.800 mm x v.1970 mm, pravé dovnitř 
- protipožární:</t>
    </r>
    <r>
      <rPr>
        <b/>
        <sz val="9"/>
        <rFont val="Arial"/>
        <family val="2"/>
      </rPr>
      <t xml:space="preserve"> EI30 DP3</t>
    </r>
    <r>
      <rPr>
        <sz val="9"/>
        <rFont val="Arial"/>
        <family val="2"/>
      </rPr>
      <t xml:space="preserve">
- plechové bazfalcové dveře, v plechové obložkové zárubni 
- v líci se stěnou z veřejné chodby m.č. 2.01
- otevírání dveřního křídla - dovnitř zárubně. 
- dveřní křídlo - plechové s voštinovou výplní, v líci s obložkou 
- povrchová úprava - lak 20% lesk, RAL 9010 Fine texture (bude vzorováno)
- bezpečnostní odolnost min. RC2
- otevírací mechanismus - boční válečkové panty 
- klika/koule, černá barva</t>
    </r>
  </si>
  <si>
    <t>Chodba 2.NP + 3.NP</t>
  </si>
  <si>
    <t xml:space="preserve">Montáž izolace tepelné parotěsné zábrany stropů  vrchem folií </t>
  </si>
  <si>
    <t>23,90*1,1</t>
  </si>
  <si>
    <t>23,90*1,15</t>
  </si>
  <si>
    <t>1,61*1,55+1,11*1,55+0,8*1,97*4</t>
  </si>
  <si>
    <t>725210826</t>
  </si>
  <si>
    <t>Demontáž umývátek bez výtokových armatur</t>
  </si>
  <si>
    <t>725240812</t>
  </si>
  <si>
    <t>Demontáž vaniček sprchových bez výtokových armatur</t>
  </si>
  <si>
    <t>725330840</t>
  </si>
  <si>
    <t>Demontáž výlevka litinová nebo ocelová</t>
  </si>
  <si>
    <t>0,6*1,97*2+0,7*1,97*1+0,8*1,97*7+0,9*1,97*1</t>
  </si>
  <si>
    <t>(2,1+3,1+2,7+2,8+1,6+2,45+3,3+2,7+2,0)*2,7-0,6*1,97*1-0,7*1,97*1-0,8*1,97*3</t>
  </si>
  <si>
    <t>(8,9+7,0*2+1,5+7,6)*2</t>
  </si>
  <si>
    <t>11,8+24,4+6,9+4,3+19,7+1,2+15,6+1,0</t>
  </si>
  <si>
    <t>(11,8+24,4+6,9+4,3+19,7+1,2)*0,1</t>
  </si>
  <si>
    <t>(11,8+24,4+6,9+4,3+19,7+1,2)*0,15</t>
  </si>
  <si>
    <t>(33,2+9,2*2+25,1+9,8+3,6+4,1)*2,6-0,8*1,97*4</t>
  </si>
  <si>
    <t>(33,2+9,2*2+25,1+9,8+3,6+4,1)*1,2</t>
  </si>
  <si>
    <t>68,3*0,125</t>
  </si>
  <si>
    <t>8,6*1,8</t>
  </si>
  <si>
    <t>74,8*0,1</t>
  </si>
  <si>
    <t>74,8*1,1</t>
  </si>
  <si>
    <t>74,8*1,15</t>
  </si>
  <si>
    <t>74,8*5,18*1,2*0,001</t>
  </si>
  <si>
    <t>Příčka z pórobetonových hladkých tvárnic na tenkovrstvou maltu tl 125 mm</t>
  </si>
  <si>
    <t>(2,1+1,9+3,3+1,4+1,9)*2,8-0,7*1,97*2-0,8*1,97</t>
  </si>
  <si>
    <t>(2,1*4+1,1)*2,8+1,88*2,0-0,7*1,97*3</t>
  </si>
  <si>
    <t>Překlad nenosný porobetonový š.100 mm v do 250 mm na tenkovrstvou maltu dl. do 1250 mm</t>
  </si>
  <si>
    <t>Překlad nenosný porobetonový š.100 mm v do 250 mm na tenkovrstvou maltu dl. do 1000 mm</t>
  </si>
  <si>
    <t>1,0+1,0+1,0</t>
  </si>
  <si>
    <t>Překlad nenosný porobetonový š.125 mm v do 250 mm na tenkovrstvou maltu dl. do 1250 mm</t>
  </si>
  <si>
    <t>Překlad nenosný porobetonový š.125 mm v do 250 mm na tenkovrstvou maltu dl. do 1000 mm</t>
  </si>
  <si>
    <t>2,1*14,4*1,08*2*0,001</t>
  </si>
  <si>
    <t>1,3*11,1*1,08*2*0,001+1,1*11,1*1,08*8*0,001+1,2*11,1*1,08*2*0,001</t>
  </si>
  <si>
    <t>0,95*2,0*0,2+1,8*2,0*0,3</t>
  </si>
  <si>
    <t>1,3*0,15*0,4+1,1*0,15*0,4+1,2*0,15*0,3</t>
  </si>
  <si>
    <t>4+16+4</t>
  </si>
  <si>
    <t>6*3+6</t>
  </si>
  <si>
    <t>(14,0+26,6+12,9+13,0+2,6)*0,45+(9,0+10,7+4,0)*0,35</t>
  </si>
  <si>
    <t>(14,0+26,6+12,9+13,0+2,6)*3,15+(9,0+10,7+4,0)*3,25-(1,6*1,8+0,75*1,8+0,8*1,8+0,9*1,8*2+0,8*1,8*1+0,7*1,8*5)</t>
  </si>
  <si>
    <t>1,2*3,6*2+1,6*3,6*2+0,75*1,2+0,95*3,6</t>
  </si>
  <si>
    <t>m.č.1.14+1.16</t>
  </si>
  <si>
    <t>15,1*0,2</t>
  </si>
  <si>
    <t>(1,7+6,5+3,5+17,3+2,7+8,6+3,5+22,4+8,6)*1,1</t>
  </si>
  <si>
    <t>(1,7+6,5+3,5+17,3+2,7+8,6+3,5+22,4+8,6)</t>
  </si>
  <si>
    <t>(14,0+18,4+6,8+16,4+12,9+13,0+2,6+5,8)*1,1</t>
  </si>
  <si>
    <t>(1,7+6,5+3,5+17,3+2,7+8,6+3,5+22,4+8,6)*1,15</t>
  </si>
  <si>
    <t>1,7+6,5+3,5+17,3+2,7+8,6+3,5+22,4+8,6+15,1</t>
  </si>
  <si>
    <t>89,90*5,18*1,2*0,001</t>
  </si>
  <si>
    <t>(33,2+9,2*2+25,1+9,8+3,6+4,1+6,8)*1,2</t>
  </si>
  <si>
    <t>5,6+1,0</t>
  </si>
  <si>
    <t>P1.7</t>
  </si>
  <si>
    <t>P1.8</t>
  </si>
  <si>
    <t>14,1+1,0+1,7+6,5+3,5+8,6+2,7+3,5</t>
  </si>
  <si>
    <t>22,4+8,6</t>
  </si>
  <si>
    <t>P1.6+P1.7</t>
  </si>
  <si>
    <t>(22,4+8,6)*1,02</t>
  </si>
  <si>
    <t>(17,3+14,1+1,0+1,7+6,5+3,5+8,6+2,7+3,5)*1,02</t>
  </si>
  <si>
    <t>(17,3+14,1+1,0+1,7+6,5+3,5+8,6+2,7+3,5+22,4+8,6)*1,1</t>
  </si>
  <si>
    <t>(17,3+14,1+1,0+1,7+6,5+3,5+8,6+2,7+3,5+22,4+8,6)*1,15</t>
  </si>
  <si>
    <t>8,9+6,9+11,0</t>
  </si>
  <si>
    <t>9,5+2,0+12,8</t>
  </si>
  <si>
    <t>SDK podhled deska 1xA 12,5 bez izolace dvouvrstvá spodní kce profil CD+UD,  kotveno do nosné stropní konstrukce</t>
  </si>
  <si>
    <t>SDK podhled deska 1x akustická 12,5  jednovrstvá spodní kce profil CD+UD,  kotveno do nosné stropní konstrukce Rw 60 dB</t>
  </si>
  <si>
    <t>D -02 c</t>
  </si>
  <si>
    <t>D 1.3 L-D</t>
  </si>
  <si>
    <t>D 1.5 P-V</t>
  </si>
  <si>
    <t>D -09</t>
  </si>
  <si>
    <t>D -10</t>
  </si>
  <si>
    <t>D -06 b</t>
  </si>
  <si>
    <t xml:space="preserve">Samostatné kabinky v prostoru WC MUŽI (1.04) - typové řešení z konstrukčních desek compact opatřených HPL - bude předmětem vzorování
- řešeny jako samonosné sainitární příčky z montovaného systému na stavitelné nerezové nožky - S.H. +0,150 x H.H. +2,030
- čelní příčka s dveřmi - dl. 1700mm
- dělicí příčka mezi kabinami - dl. 1600 mm
Členění:
- celkem 2 samostatné kabinky celkové výšky v. 2030 mm
- 2x dveře rozměru š.700, otvírání dovnitř, Z vnitřní strany profrézovaný motiv zajíčka opatřen mléčným neprůhledným plexisklem.
- barevnost desky olivově zelená dle vzorování (bude předložen vzorník). 
- kování nerez, výběr dle vzorování.
- nosný systém řešen kotevnými nerezovými prvky - kotveno do stěn a podlahy
- 2x WC zámek
</t>
  </si>
  <si>
    <t>Nové interiérové dveře jednokřídlé, š.900 mm x v.1970 mm, 
- bazfalcové dveře v líci se stěnou ze strany m.č. 1.19
- otevírání pravé ven
- podrobné řešení, viz.výkres mobiliáře 
- dveřní křídlo - masivní rám s voštinovou výplní
- povrchová úprava - dyhováno se suky, skládáno ala prkna, polyuretan.lak natur efekt hluboký mat s otevřeným porem. Částečně opláštěno plechem.
- interiérové dveře bez bezpečnostní odolnosti
- otevírací mechanismus - skrytý samozavírač
- oboustranné černá klika
- zámek mechanický FAB, generální klíč
- součástí dveří je navazující obklad stěny a nadpraží</t>
  </si>
  <si>
    <t>D 1.3 P-D
D 1.3 P-V</t>
  </si>
  <si>
    <t>D 1.2 P-V
D 1.2 P-D</t>
  </si>
  <si>
    <t>D 1.4 L-V</t>
  </si>
  <si>
    <t>Dodávka dveří komplet vč.zárubně</t>
  </si>
  <si>
    <t>Montáž zárubní obložkových pro dveře dvoukřídlové tl.stěny do 350 mm</t>
  </si>
  <si>
    <t xml:space="preserve">Provedení adhezního můstku na vodorovné ploše </t>
  </si>
  <si>
    <t>(3,2+4,8+13,91+6,4+13,14)*2,4+1,77</t>
  </si>
  <si>
    <t>101,3*1,05</t>
  </si>
  <si>
    <t>Obklady keramické    60x60 cm R10 dle specifikace projektu</t>
  </si>
  <si>
    <t xml:space="preserve">Obklad stávajících stěn do úrovně +1,500 </t>
  </si>
  <si>
    <t>(14,1+1,0+1,70+2,70+6,50+3,50+17,3+8,6+22,4+8,60+3,50-3,0)</t>
  </si>
  <si>
    <t>((2,1*5)*2,5-0,7*1,97*2)*2</t>
  </si>
  <si>
    <t>((4,6+1,85*2)*2,5-0,8*1,97-0,7*1,97*2)*2</t>
  </si>
  <si>
    <t>1,6*2,5+1,16*1,75+0,61*1,75+3,94*1,75+2,85*3,0+1,88*2,0*2+101,3+5,9*1,5</t>
  </si>
  <si>
    <t>317,5+89,9-140,0</t>
  </si>
  <si>
    <t>5.43</t>
  </si>
  <si>
    <t>Montáž dveřních křídel otevíravých dvoukřídlových č. přes 0,8 m do obkložkové zárubně</t>
  </si>
  <si>
    <t>Montáž zárubní obložkových pro dveře jednokřídlové tl.stěny přes 350 mm</t>
  </si>
  <si>
    <t>1.48</t>
  </si>
  <si>
    <t>1.49</t>
  </si>
  <si>
    <t>1.50</t>
  </si>
  <si>
    <t>1.51</t>
  </si>
  <si>
    <t>1.52</t>
  </si>
  <si>
    <t>1.53</t>
  </si>
  <si>
    <t>1.54</t>
  </si>
  <si>
    <t>1.55</t>
  </si>
  <si>
    <t>1.56</t>
  </si>
  <si>
    <t>1.57</t>
  </si>
  <si>
    <t>1.58</t>
  </si>
  <si>
    <t>1.59</t>
  </si>
  <si>
    <t>1.60</t>
  </si>
  <si>
    <t>1.61</t>
  </si>
  <si>
    <t>1.62</t>
  </si>
  <si>
    <t>1.63</t>
  </si>
  <si>
    <t>1.64</t>
  </si>
  <si>
    <t>1.65</t>
  </si>
  <si>
    <t>5.44</t>
  </si>
  <si>
    <t>5.45</t>
  </si>
  <si>
    <t>5.46</t>
  </si>
  <si>
    <t>5.47</t>
  </si>
  <si>
    <t>6.9</t>
  </si>
  <si>
    <t>6.10</t>
  </si>
  <si>
    <t>6.11</t>
  </si>
  <si>
    <t>6.12</t>
  </si>
  <si>
    <t>6.14</t>
  </si>
  <si>
    <t>6.15</t>
  </si>
  <si>
    <t>6.16</t>
  </si>
  <si>
    <t>6.17</t>
  </si>
  <si>
    <t>6.18</t>
  </si>
  <si>
    <t>6.19</t>
  </si>
  <si>
    <t>6.21</t>
  </si>
  <si>
    <t>6.22</t>
  </si>
  <si>
    <t>6.23</t>
  </si>
  <si>
    <t>6.24</t>
  </si>
  <si>
    <t>6.25</t>
  </si>
  <si>
    <t>6.26</t>
  </si>
  <si>
    <t>11.8</t>
  </si>
  <si>
    <t>11.9</t>
  </si>
  <si>
    <t>11.10</t>
  </si>
  <si>
    <t>11.11</t>
  </si>
  <si>
    <t>11.12</t>
  </si>
  <si>
    <t>11.13</t>
  </si>
  <si>
    <t>11.14</t>
  </si>
  <si>
    <t>11.15</t>
  </si>
  <si>
    <t>1,NP</t>
  </si>
  <si>
    <t>12.9</t>
  </si>
  <si>
    <t>12.10</t>
  </si>
  <si>
    <t>12.11</t>
  </si>
  <si>
    <t>12.12</t>
  </si>
  <si>
    <t>12.13</t>
  </si>
  <si>
    <t>12.14</t>
  </si>
  <si>
    <t>12.15</t>
  </si>
  <si>
    <t>(165*8,6)*1,08</t>
  </si>
  <si>
    <t>1,2*3,7*0,2+1,6*3,7*0,2+0,6*1,2*0,4</t>
  </si>
  <si>
    <t>Bourání zdiva z cihel pálených nebo vápenopískových na MV nebo MVC do 1 m3</t>
  </si>
  <si>
    <t>Demontáž větrací mřížky stěnové do průřezu 0,040 m2</t>
  </si>
  <si>
    <t>(3,9+1,3+8,1+1,3+4,3+2,625*4+2,3+1,1+1,3+1,2*2+1,3+0,945+2,3+2,6*2+2,7+0,9+1,5)*1,5</t>
  </si>
  <si>
    <t>1,4*0,8*0,2*8</t>
  </si>
  <si>
    <t>nika pro rad.</t>
  </si>
  <si>
    <t>Demontáž větrací mřížky z potrubí kruhového  D do 500 mm</t>
  </si>
  <si>
    <t>0,65*0,25*0,6*2+0,7*2,0*0,6+1,7*2,0*0,5+1,5*0,7*0,2</t>
  </si>
  <si>
    <t>stěny</t>
  </si>
  <si>
    <t>Demontáž truhlářského obložení stěn z panelů plochy do 1,5 m2</t>
  </si>
  <si>
    <t>Demontáž truhlářského obložení sloupů a pilířů z panelů plochy do 1,5 m2</t>
  </si>
  <si>
    <t>Demontáž truhlářského obložení sloupů a pilířů podkladových roštů</t>
  </si>
  <si>
    <t>Demontáž truhlářského obložení stěn podkladových roštů</t>
  </si>
  <si>
    <t>0,6*4*1,5*8</t>
  </si>
  <si>
    <t>podium</t>
  </si>
  <si>
    <t>sál</t>
  </si>
  <si>
    <t>0,9*1,97+0,8*1,97*2</t>
  </si>
  <si>
    <t>1,4*0,35*0,55+0,65*0,35*0,55</t>
  </si>
  <si>
    <t>Demontáž podlah s polštáři z prken nebo fošen tloušťky přes 32 mm</t>
  </si>
  <si>
    <t>1,01*2,43</t>
  </si>
  <si>
    <t>Demontáž lepených podlahovin bez podložky ze schodišťových stupňů</t>
  </si>
  <si>
    <t>Demontáž posuvných dveří plochy do 6 m2</t>
  </si>
  <si>
    <t>1,88*2,0</t>
  </si>
  <si>
    <t>1,29*6,6+1,24*3,5</t>
  </si>
  <si>
    <t>SDK stěna předsazená tl.62,5 mm, profil CW+UW 50, deska 1xA 12,5 bez izolace EI 15</t>
  </si>
  <si>
    <t>2,4*17,9*1,08*3*0,001*2+2,4*17,9*1,08*2*0,001+2,5*17,9*1,08*3*0,001</t>
  </si>
  <si>
    <t>1,1*0,15*0,6*2+2,5*0,2*0,6+2,4*0,2*0,375*2+2,4*0,2*0,5*2+2,1*0,2*0,3</t>
  </si>
  <si>
    <t>1,9*11,1*1,08*0,001</t>
  </si>
  <si>
    <t>2,1*14,4*1,08*3*0,001+2,1*14,4*1,08*3*0,001+1,8*14,4*1,08*3*0,001</t>
  </si>
  <si>
    <t>1,4*11,1*1,08*3*0,001+0,95*11,1*1,08*3*0,001*2</t>
  </si>
  <si>
    <t>1,9*0,2*0,15+1,4*0,15*0,55+0,95*0,15*0,55*2</t>
  </si>
  <si>
    <t>2,1*0,2*0,6+2,1*0,2*0,5+1,8*0,2*0,55</t>
  </si>
  <si>
    <t>1,8*2,0*0,5</t>
  </si>
  <si>
    <t>2+6+12</t>
  </si>
  <si>
    <t>6+6+6</t>
  </si>
  <si>
    <t xml:space="preserve">kus </t>
  </si>
  <si>
    <t>(76,1*2,30)-1,06*1,5*8-1,62*2,3-1,5*1,6--1,7*2,3-1,78*2,3-1,88*2,3*2-0,8*2,3-1,6*2,3-7,4*1,5+25,5*2,3+11,6*2,3</t>
  </si>
  <si>
    <t>0,6*4*3,3*8</t>
  </si>
  <si>
    <t>11,8*4,5+26,0*1,15*2+1,2*4,5*2+1,3*0,9*2+25,5*3,4+11,6*0,9+19,0*3,9*2</t>
  </si>
  <si>
    <t>39,43*10</t>
  </si>
  <si>
    <t>(76,1+25,5+11,6)*0,30</t>
  </si>
  <si>
    <t>(53,9+25,5+11,6)*2,0</t>
  </si>
  <si>
    <t>1,8*2,0</t>
  </si>
  <si>
    <t>Oprava podlah dřevěných  - vysátí povrchu</t>
  </si>
  <si>
    <t>(8,8)*1,1</t>
  </si>
  <si>
    <t>8,8*5,18*1,2*0,001</t>
  </si>
  <si>
    <t>762511266</t>
  </si>
  <si>
    <t>Podlahové kce podkladové z desek OSB tl 22 mm nebroušených na pero a drážku šroubovaných</t>
  </si>
  <si>
    <t>Příplatek k mazaninám za přidání polymerových makrovláken pro objemové vyztužení 3 kg/m3</t>
  </si>
  <si>
    <t>Vyrovnání podkladu povlakových podlah stěrkou pevnosti 30 MPa tl 5 mm</t>
  </si>
  <si>
    <t>776211131</t>
  </si>
  <si>
    <t>Lepení textilních pásů tkaných</t>
  </si>
  <si>
    <t>69751063</t>
  </si>
  <si>
    <t>koberec zátěžový vpichovaný role š 2m, vlákno 100% PA, hm 800g/m2, R ≤ 100MΩ, zátěž 33, útlum 25dB, hořlavost Bfl S1</t>
  </si>
  <si>
    <t>631319222R</t>
  </si>
  <si>
    <t>Vyrovnání schodišťových stupnic š.do 300 mm samonivelační stěkou min. pevnosti 35 MPa tl 5 mm</t>
  </si>
  <si>
    <t>Montáž  schodišťových samolepících lišt</t>
  </si>
  <si>
    <t xml:space="preserve">Hliníková lišta </t>
  </si>
  <si>
    <t>4040R</t>
  </si>
  <si>
    <t>sloupy</t>
  </si>
  <si>
    <t xml:space="preserve">763133111R </t>
  </si>
  <si>
    <t>Závěsný systém kotvený do stropní kce - dvojúrovňový křížový rošt z CD profilů, konstrukční SDK deska se zvýšenou kční nosností, tl. 12,5mm</t>
  </si>
  <si>
    <t>deska  spec.akustická jednostranně kašírovaná černou netkanou textilií,  tl.30 mm</t>
  </si>
  <si>
    <t>(194,1+53,4)*1,1</t>
  </si>
  <si>
    <t>(71,1+72,2+7,7)*1,1</t>
  </si>
  <si>
    <t>(194,16+53,4+71,1+72,2+7,7)*1,15</t>
  </si>
  <si>
    <t>(194,1+53,4)</t>
  </si>
  <si>
    <t>(71,1+72,2+7,7)</t>
  </si>
  <si>
    <t>SDK podhled deska 1xA 12,5 bez izolace  jednovrstvá  spodní kce profil CD+UD,  kotveno do nosné stropní konstrukce</t>
  </si>
  <si>
    <t>763131491R</t>
  </si>
  <si>
    <t>SDK podhled deska 1x akustická 12,5  dvouvrstvá spodní kce profil CD+UD,  kotveno do nosné stropní konstrukce Rw 60 dB</t>
  </si>
  <si>
    <t>SDK podhled deska 1x akustická 12,5  jednovrstvá spodní kce profil CD+UD,  kotveno do nosné stropní konstrukce Rw 60 dB - závěsný systém kotvený do prvního podhledu, na délku místnosti</t>
  </si>
  <si>
    <t>167,40+28,60</t>
  </si>
  <si>
    <t>(26,60+24,80)*1,12</t>
  </si>
  <si>
    <t>P1.4</t>
  </si>
  <si>
    <t>P1.5</t>
  </si>
  <si>
    <t>59,5+60,7+7,7</t>
  </si>
  <si>
    <t>(11,6+11,5)*1,12</t>
  </si>
  <si>
    <t>W1.1</t>
  </si>
  <si>
    <t>HDF perforovaná obkladová deska, dub dýha, tl. 19 mm  -  (dýha drážkovaná vodorovně: drážka=2mm, vzdálenost drážek=14mm)</t>
  </si>
  <si>
    <t>Vzduchová mezera (odsazení od zdi), tl. 100mm</t>
  </si>
  <si>
    <t>Minerální izolace kašírovaná podlepená textilií, tl. 50 mm</t>
  </si>
  <si>
    <t>W1.2</t>
  </si>
  <si>
    <t>Dubový masivní hranůlek 20x35mm, tl. 40 mm</t>
  </si>
  <si>
    <t>Potažení netkanou textilií ( černá)</t>
  </si>
  <si>
    <t>18,4*3,0-1,7*2,0-1,88*2,0*2+19,6*3-1,06*1,75*3-1,4*0,8*4</t>
  </si>
  <si>
    <t>22,7*3,0-0,8*2,0-1,06*1,75*5-1,4*0,8*5+1,3*0,9*2+3,0*3,0-1,6*2,0+1,2*3,0*2</t>
  </si>
  <si>
    <t>W1.3</t>
  </si>
  <si>
    <t>HDF perforovaná obkladová deska, dub dýha, tl. 19 mm  (kruhová perforace r=8mm, vzdálenost otvorů=16mm)</t>
  </si>
  <si>
    <t>2,7*3,0*8</t>
  </si>
  <si>
    <t>W1.5</t>
  </si>
  <si>
    <t>1,5+1,3*8</t>
  </si>
  <si>
    <t>D 1.3  P-D
D 1.3  L-V</t>
  </si>
  <si>
    <t>Montáž dveřních křídel otevíravých dvoukřídlových š. přes 0,8 m do obkložkové zárubně</t>
  </si>
  <si>
    <t>Montáž dveřních křídel otevíravých jednokřídlových š. přes 0,8 m do obložkové zárubně</t>
  </si>
  <si>
    <t>Montáž dveřních křídel otevíravých dvoukřídlových č. přes 0,8 m do obložkové zárubně</t>
  </si>
  <si>
    <t>Montáž dveřních křídel otevíravých jednokřídlových š.do 0,8 m do obložkové zárubně</t>
  </si>
  <si>
    <t>784121005</t>
  </si>
  <si>
    <t>784121015</t>
  </si>
  <si>
    <t>Rozmývání podkladu po oškrabání malby v místnostech výšky přes 5,00 m</t>
  </si>
  <si>
    <t>Pačokování jednonásobné v místnostech výšky přes 5,00 m</t>
  </si>
  <si>
    <t>Základní silikátová jednonásobná pigmentovaná penetrace podkladu v místnostech výšky do 3,80 m</t>
  </si>
  <si>
    <t>Základní silikátová jednonásobná pigmentovaná penetrace podkladu v místnostech výšky přes 5,00 m</t>
  </si>
  <si>
    <t>Oškrabání malby v místnostech výšky přes 5,00 m</t>
  </si>
  <si>
    <t>Dvojnásobné bílé malby ze směsí za mokra výborně otěruvzdorných v místnostech výšky přes 5,00 m</t>
  </si>
  <si>
    <t>334,7+53,4+8,8</t>
  </si>
  <si>
    <t>1,06*1,75*8+1,6*2,0*2+1,88*2,0+0,8*1,97*5</t>
  </si>
  <si>
    <t>160,0+64,80+0,8*0,85*9</t>
  </si>
  <si>
    <t>Zakrytí nemalovaných ploch (materiál ve specifikaci) včetně pozdějšího odkrytí svislých ploch např. stěn, oken, dveří v místnostech výšky přes 5,00</t>
  </si>
  <si>
    <t>9,9*3,9+0,70*1,55*10</t>
  </si>
  <si>
    <t>434,7+7,36</t>
  </si>
  <si>
    <t>71,1+72,2+7,7</t>
  </si>
  <si>
    <t>194,04+53,4+442,0</t>
  </si>
  <si>
    <t>949101112R</t>
  </si>
  <si>
    <t>Lešení pomocné pro objekty pozemních staveb s lešeňovou podlahou v do 5,00 m zatížení do 150 kg/m2</t>
  </si>
  <si>
    <t>2,0*2,0</t>
  </si>
  <si>
    <t>194,0+53,4</t>
  </si>
  <si>
    <t>4.37</t>
  </si>
  <si>
    <t>4.38</t>
  </si>
  <si>
    <t>1.66</t>
  </si>
  <si>
    <t>1.67</t>
  </si>
  <si>
    <t>4,1*3,0-0,8*1,97*2</t>
  </si>
  <si>
    <t>0,8*1,97*2</t>
  </si>
  <si>
    <t>(26,7+34,4)*3,0-1,14*0,75-1,5*2,0*2+(1,0+0,75*2+1,5+2,0*2)*0,95</t>
  </si>
  <si>
    <t>Otlučení (osekání) vnitřní vápenné nebo vápenocementové omítky stropů v rozsahu do 100 %</t>
  </si>
  <si>
    <t>342151111</t>
  </si>
  <si>
    <t>Montáž opláštění stěn ocelových kcí ze sendvičových panelů šroubovaných budov v do 6 m</t>
  </si>
  <si>
    <t>55324133</t>
  </si>
  <si>
    <t>profil fasádní C-kazeta pro skládané pláště C160/600 tl 1,25mm</t>
  </si>
  <si>
    <t>Nosná konstrukce pro podlahy s těžkým provozem modulu 600x600 mm z kovových rektifikačních stojek a rastr. C profilů výšky přes 150 do 200 mm</t>
  </si>
  <si>
    <t>(3,6*2+2,48*2)*2,2-0,9*1,97</t>
  </si>
  <si>
    <t>strop, podlaha</t>
  </si>
  <si>
    <t>2,48*3,28*2</t>
  </si>
  <si>
    <t>55324721R</t>
  </si>
  <si>
    <t>panel sendvičový stěnový oboustranně profilovaný izolace PUR tl 160mm</t>
  </si>
  <si>
    <t>767541214R</t>
  </si>
  <si>
    <t xml:space="preserve"> podlaha</t>
  </si>
  <si>
    <t>2,48*3,28</t>
  </si>
  <si>
    <t>1,0*0,6*0,95-0,125*0,125*0,95</t>
  </si>
  <si>
    <t>1,55*14,4*1,08*4*0,001</t>
  </si>
  <si>
    <t>1,55*0,2*0,95</t>
  </si>
  <si>
    <t>1,14*0,75*0,95+1,55*0,2*0,95</t>
  </si>
  <si>
    <t>39,2+20,4+17,2+3,9</t>
  </si>
  <si>
    <t>15,98*10</t>
  </si>
  <si>
    <t>611311131</t>
  </si>
  <si>
    <t>Potažení vnitřních rovných stropů vápenným štukem tloušťky do 3 mm</t>
  </si>
  <si>
    <t>612131101R</t>
  </si>
  <si>
    <t>Kapilárně aktivní sanační omítka vnitřních ploch tloušťky 35 mm včetně sklovláknitého pletiva</t>
  </si>
  <si>
    <t>Sanační zpevňující organo-kremičitý nátěr</t>
  </si>
  <si>
    <t>Zatření spár sanační maltou vnitřních stěn z tvárnic nebo kamene</t>
  </si>
  <si>
    <t>612121111R</t>
  </si>
  <si>
    <t>39,2+38,3+3,9</t>
  </si>
  <si>
    <t xml:space="preserve">Provedení adhezního můstku </t>
  </si>
  <si>
    <t>711191011R</t>
  </si>
  <si>
    <t>Sanační omítkový podhoz vnitřních ploch, nanášený celoplošně ručně</t>
  </si>
  <si>
    <t>17,6*3-1,14*0,85+(1,14+0,85*2)*0,95</t>
  </si>
  <si>
    <t>184,0-54,6</t>
  </si>
  <si>
    <t>81,4*0,2</t>
  </si>
  <si>
    <t>D 0.1</t>
  </si>
  <si>
    <t>D 0.2</t>
  </si>
  <si>
    <t>Nové interiérové dveře jednokřídlé, š.900 mm x v.1970 mm, pravé ven
- tepelně izolované chladírenské dveře
- s panikovou funkcí pro bezpečný únik
- poplechované s PUR výplní 
- v líci se stěnou z veřejné chodby 
- otevírání dveřního křídla - ven ze zárubně. 
- dveřní křídlo - plechové s voštinovou výplní, v líci s obložkou 
- povrchová úprava - lak 20% lesk, RAL 9010 Fine texture (bude vzorováno)
- bezpečnostní odolnost min. RC2
- otevírací mechanismus - boční válečkové panty 
- klika/koule, černá barva</t>
  </si>
  <si>
    <t>Nové interiérové dveře jednokřídlé, š.800 mm x v.1970 mm, pravé ven
- s panikovou funkcí pro bezpečný únik
- plechové bazfalcové dveře, v plechové obložkové zárubni 
- v líci se stěnou z veřejné chodby 
- otevírání dveřního křídla - ven ze zárubně. 
- dveřní křídlo - plechové s voštinovou výplní, v líci s obložkou 
- povrchová úprava - lak 20% lesk, RAL 9010 Fine texture (bude vzorováno)
- bezpečnostní odolnost min. RC2
- otevírací mechanismus - boční válečkové panty 
- klika/koule, černá barva</t>
  </si>
  <si>
    <t>Penetrační epoxidový nátěr hladkých betonových podlah</t>
  </si>
  <si>
    <t>Krycí dvojnásobný epoxidový nátěr betonové podlahy - difuzně otevřený epoxy nátěr umožňující odpar vzlínající vlhkosti</t>
  </si>
  <si>
    <t>81,4+54,6</t>
  </si>
  <si>
    <t>1,6+0,90*6*0,2</t>
  </si>
  <si>
    <r>
      <t>Datum zpracování</t>
    </r>
    <r>
      <rPr>
        <b/>
        <sz val="12"/>
        <rFont val="Arial"/>
        <family val="2"/>
      </rPr>
      <t xml:space="preserve">: 03/2021
</t>
    </r>
    <r>
      <rPr>
        <sz val="12"/>
        <rFont val="Arial"/>
        <family val="2"/>
      </rPr>
      <t>Revize:</t>
    </r>
    <r>
      <rPr>
        <b/>
        <sz val="12"/>
        <rFont val="Arial"/>
        <family val="2"/>
      </rPr>
      <t xml:space="preserve"> 0</t>
    </r>
  </si>
  <si>
    <t>961043111</t>
  </si>
  <si>
    <t>Bourání základů z betonu proloženého kamenem</t>
  </si>
  <si>
    <t>962023391</t>
  </si>
  <si>
    <t>Bourání zdiva nadzákladového smíšeného na MV nebo MVC přes 1 m3</t>
  </si>
  <si>
    <t>273313511</t>
  </si>
  <si>
    <t>Základové desky ze ŽB bez zvýšených nároků na prostředí tř. C 25/30</t>
  </si>
  <si>
    <t>279113135</t>
  </si>
  <si>
    <t>Základová zeď tl do 400 mm z tvárnic ztraceného bednění včetně výplně z betonu tř. C 16/20</t>
  </si>
  <si>
    <t>279361821</t>
  </si>
  <si>
    <t>Výztuž základových zdí nosných betonářskou ocelí 10 505</t>
  </si>
  <si>
    <t>311272227</t>
  </si>
  <si>
    <t>Zdivo z pórobetonových tvárnic na pero a drážku přes P2 do P4 do 450 kg/m3 na tenkovrstvou maltu tl 300 m</t>
  </si>
  <si>
    <t>317143451</t>
  </si>
  <si>
    <t>Překlad nosný z pórobetonu ve zdech tl 300 mm dl do 1300 mm</t>
  </si>
  <si>
    <t>317143454</t>
  </si>
  <si>
    <t>Překlad nosný z pórobetonu ve zdech tl 300 mm dl přes 1800 do 2100 mm</t>
  </si>
  <si>
    <t>317143456</t>
  </si>
  <si>
    <t>417321515</t>
  </si>
  <si>
    <t>Ztužující pásy a věnce ze ŽB tř. C 25/30</t>
  </si>
  <si>
    <t>417351115</t>
  </si>
  <si>
    <t>Zřízení bednění ztužujících věnců</t>
  </si>
  <si>
    <t>417351116</t>
  </si>
  <si>
    <t>Odstranění bednění ztužujících věnců</t>
  </si>
  <si>
    <t>417361821</t>
  </si>
  <si>
    <t>Výztuž ztužujících pásů a věnců betonářskou ocelí 10 505</t>
  </si>
  <si>
    <t>69311081</t>
  </si>
  <si>
    <t>geotextilie netkaná separační, ochranná, filtrační, drenážní PES 300g/m2</t>
  </si>
  <si>
    <t>Úpravy povrchů, podlahy a osazování výplní</t>
  </si>
  <si>
    <t>612142001</t>
  </si>
  <si>
    <t>612311131</t>
  </si>
  <si>
    <t>Potažení vnitřních stěn vápenným štukem tloušťky do 3 mm</t>
  </si>
  <si>
    <t>633121112</t>
  </si>
  <si>
    <t>Povrchová úprava průmyslových podlah pro střední provoz vsypovou směsí s příměsí korundu tl 3 mm</t>
  </si>
  <si>
    <t>762331813</t>
  </si>
  <si>
    <t>Demontáž vázaných kcí krovů z hranolů průřezové plochy do 288 cm2</t>
  </si>
  <si>
    <t>762341811</t>
  </si>
  <si>
    <t>Demontáž bednění střech z prken</t>
  </si>
  <si>
    <t>762822820</t>
  </si>
  <si>
    <t>Demontáž stropních trámů z hraněného řeziva průřezové plochy do 288 cm2</t>
  </si>
  <si>
    <t>764001801</t>
  </si>
  <si>
    <t>Demontáž podkladního plechu do suti</t>
  </si>
  <si>
    <t>764004801</t>
  </si>
  <si>
    <t>Demontáž podokapního žlabu do suti</t>
  </si>
  <si>
    <t>765</t>
  </si>
  <si>
    <t>Krytina skládaná</t>
  </si>
  <si>
    <t>765131857</t>
  </si>
  <si>
    <t>Demontáž vlnité azbestocementové krytiny sklonu do 30° do suti</t>
  </si>
  <si>
    <t>765131877</t>
  </si>
  <si>
    <t>Demontáž hřebene nebo nároží vlnité azbestocementové krytiny sklonu do 30° do suti</t>
  </si>
  <si>
    <t>12,5*6,0</t>
  </si>
  <si>
    <t>,</t>
  </si>
  <si>
    <t>998764102</t>
  </si>
  <si>
    <t>16*6,0</t>
  </si>
  <si>
    <t>4,6*3,25</t>
  </si>
  <si>
    <t>4,6*3,75*0,3*2+4,6*3,25*0,2+12,5*2,95*0,3+9,9*4,6*0,3-0,9*1,97*2*0,3-1,85*1,9*0,3</t>
  </si>
  <si>
    <t>10,2*0,8*0,5+4,6*0,8*0,5+4,6*0,6*0,5+4,6*0,5*0,4+13,0*0,8*0,5</t>
  </si>
  <si>
    <t>64,5*0,25</t>
  </si>
  <si>
    <t>64,5*1,1</t>
  </si>
  <si>
    <t>56,0*0,15</t>
  </si>
  <si>
    <t>Nakládání výkopku  z hornin třídy těžitelnosti I, skupiny 1 až 3 do 100 m3</t>
  </si>
  <si>
    <t>Poplatek za uložení na skládce (skládkovné)  odpadu asfaltového s dehtem kód odpadu 17 03 01</t>
  </si>
  <si>
    <t>4*4,8</t>
  </si>
  <si>
    <t>2,4*5,2</t>
  </si>
  <si>
    <t>0,9*1,97*2</t>
  </si>
  <si>
    <t>0,85*1,1</t>
  </si>
  <si>
    <t>169,45*10</t>
  </si>
  <si>
    <t>64,5*0,15+(27,9+4,6*2)*0,7*1,0*1,12</t>
  </si>
  <si>
    <t>Odkopávky a prokopávky  nezapažené v hornině třídy těžitelnosti I skupiny 3, objem do 50 m3 strojně</t>
  </si>
  <si>
    <t>38,76*2,,0</t>
  </si>
  <si>
    <t>(27,9+4,6*2)*0,7*0,23</t>
  </si>
  <si>
    <t>Základové pásy z betonu tř. C 16/20 - do výkopu</t>
  </si>
  <si>
    <t>(27,9+4,6*2)*0,6</t>
  </si>
  <si>
    <t>(27,9+4,6*2)*0,6*0,015</t>
  </si>
  <si>
    <t>Základové desky z betonu tř. C 12/15 - podkladní beton</t>
  </si>
  <si>
    <t>(23,5+12,8+17,5)*0,1</t>
  </si>
  <si>
    <t>(23,5+12,8+17,5)*7,85*1,2*0,001</t>
  </si>
  <si>
    <t>(66,20)*0,1</t>
  </si>
  <si>
    <t>(35,8)*0,1</t>
  </si>
  <si>
    <t>53,0+36,2+18,0+18,0+14,3</t>
  </si>
  <si>
    <t>Překlad nosný z pórobetonu ve zdech tl 300 mm dl přes 2400 mm</t>
  </si>
  <si>
    <t>Překlad nosný z pórobetonu ve zdech tl 300 mm dl přes 1300 do 1500 mm</t>
  </si>
  <si>
    <t>Nosná zeď ze ŽB tř. C20/25 bez výztuže</t>
  </si>
  <si>
    <t>4,7*0,3</t>
  </si>
  <si>
    <t>Zřízení oboustranného bednění nosných nadzákladových zdí</t>
  </si>
  <si>
    <t>Odstranění oboustranného bednění nosných nadzákladových zdí</t>
  </si>
  <si>
    <t>Výztuž nosných zdí betonářskou ocelí 10 505</t>
  </si>
  <si>
    <t>1,41*0,09</t>
  </si>
  <si>
    <t>0,248+0,313+0,566+0,762+0,606</t>
  </si>
  <si>
    <t>Ocel profilovaná IPN jakost 11 375</t>
  </si>
  <si>
    <t>(4*1,8+4*1,9)*14,4*0,001</t>
  </si>
  <si>
    <t>(4*1,8+4*1,9)*14,4*1,12*0,001</t>
  </si>
  <si>
    <t>5,2*(6,82+3,035+3,185)</t>
  </si>
  <si>
    <t>Strop tl.200 mm bez nabetonávky z porobetonových vložek a nosníků dl. do 5,6 m, osová vzdálenost nosníků do 680 mm</t>
  </si>
  <si>
    <t xml:space="preserve">Osazování ocelových válcovaných nosníků I,IE,U,UE nebo L do č. 22 </t>
  </si>
  <si>
    <t>Provedení izolace proti zemní vlhkosti hydroizolační stěrkou vodorovné na betonu, 1 vrstva</t>
  </si>
  <si>
    <t>(23,5+12,8+17,5)*0,15</t>
  </si>
  <si>
    <t>(23,9+13,1+18,1)</t>
  </si>
  <si>
    <t>(23,9+13,1+18,1)*2*1,08</t>
  </si>
  <si>
    <t>55,1*1,15</t>
  </si>
  <si>
    <t>Pás asfaltový samolepící tl. 2 mm</t>
  </si>
  <si>
    <t>Provedení hydroizolace pásy na sucho samolepící</t>
  </si>
  <si>
    <t>Mazanina tl. do 120 mm z betonu prostého bez zvýšených nároků na prostředí tř. C 25/30</t>
  </si>
  <si>
    <t>Příplatek k mazaninám za přidání ocelových vláken (drátkobeton) pro objemové vyztužení 25 kg/m3</t>
  </si>
  <si>
    <t>55,1*0,12</t>
  </si>
  <si>
    <t>(19,8+15,3+18,4)*1,02</t>
  </si>
  <si>
    <t>1,2*1,8</t>
  </si>
  <si>
    <t>1,8*2,0+1,2*1,8+1,02*2,26+1,3*1,3</t>
  </si>
  <si>
    <t>Uzavírací epoxidový transparentní nátěr podlahy</t>
  </si>
  <si>
    <t>67,8+176,3-2,1</t>
  </si>
  <si>
    <t>Mazanina tl. do 240 mm z betonu prostého bez zvýšených nároků na prostředí tř. C 25/30</t>
  </si>
  <si>
    <t>Výztuž mazanin betonářskou ocelí 10 505</t>
  </si>
  <si>
    <t>19,5*0,2</t>
  </si>
  <si>
    <t>Zřízení bednění stropů deskových tl. do 25 cm bez podpěrné konstrukce</t>
  </si>
  <si>
    <t>Odstranění bednění stropů deskových tl. do 25 cm bez podpěrné konstrukce</t>
  </si>
  <si>
    <t xml:space="preserve">Zřízení podpěrné konstrukce stropů výšky do 4 m,  tl. do 25 cm </t>
  </si>
  <si>
    <t xml:space="preserve">Odstranění podpěrné konstrukce stropů výšky do 4 m,  tl. do 25 cm </t>
  </si>
  <si>
    <t>Stavební úpravy Lidového domu Zaječov č.p. 126</t>
  </si>
  <si>
    <t>Hydrant dle PBŘ, nástěnný, plechová skříň, hadice DN25,délka 30m, - lakování RAL dle výběru</t>
  </si>
  <si>
    <t>Nástěnná baterie s ramínkem</t>
  </si>
  <si>
    <t>Stojánková baterie  dřezová</t>
  </si>
  <si>
    <t>Sprchový žlab</t>
  </si>
  <si>
    <t>Sprchový set</t>
  </si>
  <si>
    <t>Oplocení venkovní jednotky 
- pletivo, tvrdé, rozteč min 100mm, drát min 3mm vč. pevné stříšky, výška stříšky +2300mm
-konstrukce žárově zinkována, bude lakována shodně s barevností fasády - RAL 1013 Mat Fine texture</t>
  </si>
  <si>
    <t>32,5+8,8+1,5+15,2+2,5</t>
  </si>
  <si>
    <t>10,3+2,3+2,6+16,1</t>
  </si>
  <si>
    <t>15,4+1,7</t>
  </si>
  <si>
    <t>0,78*3+0,94*1+0,54*8+0,69*3+0,33*2</t>
  </si>
  <si>
    <t>1,05*1+1,93*8+1,05*2+1,04*1+1,78*2+1,84*2</t>
  </si>
  <si>
    <t>968062376</t>
  </si>
  <si>
    <t>Vybourání dřevěných rámů oken zdvojených včetně křídel pl do 4 m2</t>
  </si>
  <si>
    <t>968062455</t>
  </si>
  <si>
    <t>Vybourání dřevěných dveřních zárubní pl do 2 m2</t>
  </si>
  <si>
    <t>968062456</t>
  </si>
  <si>
    <t>Vybourání dřevěných dveřních zárubní pl přes 2 m2</t>
  </si>
  <si>
    <t>2,0*2+1,77*2</t>
  </si>
  <si>
    <t>4,32*1+5,76*1+3,9*1</t>
  </si>
  <si>
    <t>3,71*4+3,05*1+2,01*2+2,61*2+2,56*1</t>
  </si>
  <si>
    <t>963022819</t>
  </si>
  <si>
    <t>Bourání kamenných schodišťových stupňů zhotovených na místě</t>
  </si>
  <si>
    <t>961021311</t>
  </si>
  <si>
    <t>Bourání základů ze zdiva kamenného</t>
  </si>
  <si>
    <t>13,1*0,4*1,35+3,7*0,5</t>
  </si>
  <si>
    <t>963053937</t>
  </si>
  <si>
    <t>Bourání ŽB schodišťových ramen monolitických na schodnicích</t>
  </si>
  <si>
    <t>27,6*0,5*0,75</t>
  </si>
  <si>
    <t>18,0*0,25</t>
  </si>
  <si>
    <t>25,6*0,5*0,4*1,15</t>
  </si>
  <si>
    <t>967033963</t>
  </si>
  <si>
    <t>Odsekání okenních obrub předsazených před líc zdiva přes 50 mm</t>
  </si>
  <si>
    <t>978023261</t>
  </si>
  <si>
    <t>Vyškrabání spár zdiva kamenného kyklopského a ostatního</t>
  </si>
  <si>
    <t>210,6*0,125</t>
  </si>
  <si>
    <t>Otlučení (osekání) vnější vápenné nebo vápenocementové omítky stupně členitosti 3 až 5  do 30%</t>
  </si>
  <si>
    <t>712400832</t>
  </si>
  <si>
    <t>Odstranění povlakové krytiny střech do 30° dvouvrstvé</t>
  </si>
  <si>
    <t>16,4*12,7</t>
  </si>
  <si>
    <t>Montáž izolace tepelné střech šikmých kladené volně mezi krokve rohoží, pásů, desek</t>
  </si>
  <si>
    <t>4,5*10,8*2,</t>
  </si>
  <si>
    <t>63141192</t>
  </si>
  <si>
    <t>deska tepelně izolační minerální do šikmých střech a stěn  λ=0,036-0,037 tl 140mm</t>
  </si>
  <si>
    <t>97,2*1,02</t>
  </si>
  <si>
    <t>764R3</t>
  </si>
  <si>
    <t>Ostatní pomocný materiál</t>
  </si>
  <si>
    <t>fólie PE vyztužená pro parotěsnou vrstvu (reakce na oheň - třída E) 140g/m2 samolepící</t>
  </si>
  <si>
    <t>28329276R</t>
  </si>
  <si>
    <t>28375019</t>
  </si>
  <si>
    <t>deska EPS 70 se zvýšenou pevností λ=0,039 tl 200mm</t>
  </si>
  <si>
    <t>(47,6+72,0)*2</t>
  </si>
  <si>
    <t>R1</t>
  </si>
  <si>
    <t>R5</t>
  </si>
  <si>
    <t>765191023</t>
  </si>
  <si>
    <t>Montáž pojistné hydroizolační nebo parotěsné kladené ve sklonu přes 20° s lepenými spoji na bednění</t>
  </si>
  <si>
    <t>47,6+72,0</t>
  </si>
  <si>
    <t>(47,6+72,0+118,5+72,01+45,4)*1,10</t>
  </si>
  <si>
    <t>118,5+72,0</t>
  </si>
  <si>
    <t>355,5*0,025*1,08</t>
  </si>
  <si>
    <t>762342214</t>
  </si>
  <si>
    <t>Montáž laťování na střechách jednoduchých sklonu do 60° osové vzdálenosti do 360 mm</t>
  </si>
  <si>
    <t>60514106</t>
  </si>
  <si>
    <t>řezivo jehličnaté lať pevnostní třída S10-13 průřez 40x60mm</t>
  </si>
  <si>
    <t>(119,6+190,5+45,40)</t>
  </si>
  <si>
    <t>355,5*3,6*0,04*0,06*1,08</t>
  </si>
  <si>
    <t>622131121</t>
  </si>
  <si>
    <t>Penetrační nátěr vnějších stěn nanášený ručně</t>
  </si>
  <si>
    <t>622142001</t>
  </si>
  <si>
    <t>Potažení vnějších stěn sklovláknitým pletivem vtlačeným do tenkovrstvé hmoty</t>
  </si>
  <si>
    <t>622211031</t>
  </si>
  <si>
    <t>Montáž kontaktního zateplení vnějších stěn lepením a mechanickým kotvením polystyrénových desek tl do 160 mm</t>
  </si>
  <si>
    <t>28372059</t>
  </si>
  <si>
    <t>28376425</t>
  </si>
  <si>
    <t>Oprava vnější vápenocementové hladké omítky složitosti 1 stěn v rozsahu do 30%</t>
  </si>
  <si>
    <t>629995101</t>
  </si>
  <si>
    <t>Očištění vnějších ploch tlakovou vodou</t>
  </si>
  <si>
    <t>11.16</t>
  </si>
  <si>
    <t>11.17</t>
  </si>
  <si>
    <t>4,75*21,9*1,08*3*0,001</t>
  </si>
  <si>
    <t>4,75*0,25*0,375</t>
  </si>
  <si>
    <t>3*2</t>
  </si>
  <si>
    <t>765121802</t>
  </si>
  <si>
    <t>Demontáž krytiny betonové sklonu do 30° na sucho k dalšímu použití</t>
  </si>
  <si>
    <t>622125110R</t>
  </si>
  <si>
    <t>Vyplnění spár vápennou sanační maltou vnějších stěn z tvárnic nebo kamene</t>
  </si>
  <si>
    <t xml:space="preserve">Adhezní můstek </t>
  </si>
  <si>
    <t>245R01</t>
  </si>
  <si>
    <t>16,5*4,5+29,6+216,2+203,5+284,3+118,5-157,3</t>
  </si>
  <si>
    <t>769,0+75,4+25,3</t>
  </si>
  <si>
    <t>869,0-123,75</t>
  </si>
  <si>
    <t>Vápenocementová omítka štuková dvouvrstvá vnějších stěn nanášená ručně</t>
  </si>
  <si>
    <t>142,0*0,5</t>
  </si>
  <si>
    <t>783823165</t>
  </si>
  <si>
    <t>Penetrační silikonový nátěr omítek stupně členitosti 3</t>
  </si>
  <si>
    <t>783827445</t>
  </si>
  <si>
    <t>Krycí dvojnásobný silikonový nátěr omítek stupně členitosti 3</t>
  </si>
  <si>
    <t>783809225</t>
  </si>
  <si>
    <t>28374119</t>
  </si>
  <si>
    <t>28374125</t>
  </si>
  <si>
    <t>deska EPS grafitová fasádní  λ=0,031 tl 160mm</t>
  </si>
  <si>
    <t>deska z polystyrénu XPS, hrana rovná a strukturovaný povrch 300 kPa tl. 160mm</t>
  </si>
  <si>
    <t>767</t>
  </si>
  <si>
    <t>Konstrukce zámečnické</t>
  </si>
  <si>
    <t>767161821</t>
  </si>
  <si>
    <t>Demontáž zábradlí schodišťového rozebíratelného hmotnosti 1 m zábradlí do 20 kg do suti</t>
  </si>
  <si>
    <t>R06</t>
  </si>
  <si>
    <t>Dodávka a montáž schodiště - ocelová konstrukce  s dřevěnými stupni, vč.zábradlí  š.1500 mm - 5 stupňů,   1300 mm - 5 stupňů</t>
  </si>
  <si>
    <t>R07</t>
  </si>
  <si>
    <t>Lapač střešních splavenin</t>
  </si>
  <si>
    <t>764R4</t>
  </si>
  <si>
    <t>R08</t>
  </si>
  <si>
    <t>F1.9</t>
  </si>
  <si>
    <t>Dodávka a montáž vnější značení (nápis)</t>
  </si>
  <si>
    <t>Dodávka a montáž zábradlí (dle detailu Prefa konstrukce)  a vzorování</t>
  </si>
  <si>
    <t>0672:Schod šedo-bílý     Pre 01  148x79,5x18,5</t>
  </si>
  <si>
    <t>0673:Schod šedo-bílý     Pre 02  148x79,5x36,5</t>
  </si>
  <si>
    <t>0674:Schod šedo-bílý     Pre 03  198,5x148x56,5/15  - dutina</t>
  </si>
  <si>
    <t xml:space="preserve">0675:Schod šedo-bílý     Pre 04  198,5x169x21 </t>
  </si>
  <si>
    <t>0679:Schod šedo-bílý     Pre 08-,09   181,5x148x10</t>
  </si>
  <si>
    <t>0680:Schod šedo-bílý    Pre 10   163x169x10</t>
  </si>
  <si>
    <t>0681:Schod šedo-bílý    Pre 11   169x120x68/15  dutina</t>
  </si>
  <si>
    <t>0682:3 x schod šedo-bílý     Pre 12   120x120x51/17 - nášlap 40 cm  plný</t>
  </si>
  <si>
    <t>0683:Schod šedo-bílý    Pre 13   190x200x10/28</t>
  </si>
  <si>
    <t>E0.3</t>
  </si>
  <si>
    <t>21,5*0,3*0,2</t>
  </si>
  <si>
    <t>21,5*2*0,2</t>
  </si>
  <si>
    <t>(3,0+3,5*2)*2,7+13,7</t>
  </si>
  <si>
    <t>(12,1+3,8+3,1)*3,5+13,7</t>
  </si>
  <si>
    <t>Příplatek k broušení stávajících betonových podlah za každý další 1 mm úběru</t>
  </si>
  <si>
    <t>81,4*5</t>
  </si>
  <si>
    <t>Provedení prostupu skrze stropní desku nad 1PP pro pivní vedení do prostoru nového výčepu, kde bude vedeno podlahou. Zabudovat potrubí 2x KG DN125. Prostupy vedeny až do Chl.boxu. Vzdálenost mezi prostupy min. 500mm</t>
  </si>
  <si>
    <t>Provedení prostupu do stěny m.č.0.04, těsně pod stropem. Zakryto nerezovou mřížkou 150x150. Potrubí KG DN125 vytaženo do prostoru kuchyně a dále stoupačkou nad úroveň střechy., kde bude opatřeno nerezovou VZT turbínou.</t>
  </si>
  <si>
    <t>Provedení prostupu do stěny m.č.0.03, těsně pod stropem. Zakryto nerezovou mřížkou 150x150. Potrubí KG DN125 vytaženo prostupem do 1NP,2NP,3NP (půda) a vyvedeno nad úroveň střechy., kde bude opatřeno nerezovou VZT turbínou. Slouží k odvětrání prostoru 1PP.</t>
  </si>
  <si>
    <t>Před zazděním bouraného okna v m.č.0.03 bude těsně pod stropem zazděno potrubí KG DN125, oboustranně zakryto nerezovou mřížkou 150x150 mm.
Přesná pozice mřížky na fasádě (ker.obkladu) bude uzpůsobena dle spárořezu.</t>
  </si>
  <si>
    <t>R 05</t>
  </si>
  <si>
    <t>Prodloužení  přesahů stávající  střechy kvůli zateplení - demontáž krajních tašek, nastavení krokví, doplnění krytiny- HZS  tesař odborný</t>
  </si>
  <si>
    <t>R02 - HZS2112</t>
  </si>
  <si>
    <t>R03 -  HZS2112</t>
  </si>
  <si>
    <t>Demontáž podokapního žlabu k dalšímu použití</t>
  </si>
  <si>
    <t>8.6.1</t>
  </si>
  <si>
    <t>8.6.2</t>
  </si>
  <si>
    <t>8.6.3</t>
  </si>
  <si>
    <t>8.6.4</t>
  </si>
  <si>
    <t>8.6.5</t>
  </si>
  <si>
    <t>8.6.6</t>
  </si>
  <si>
    <t>8.6.7</t>
  </si>
  <si>
    <t>8.6.8</t>
  </si>
  <si>
    <t>8.6.9</t>
  </si>
  <si>
    <t>8.6.10</t>
  </si>
  <si>
    <t>8.6.11</t>
  </si>
  <si>
    <t>8.6.12</t>
  </si>
  <si>
    <t>8.6.13</t>
  </si>
  <si>
    <t>8.6.14</t>
  </si>
  <si>
    <t>8.14</t>
  </si>
  <si>
    <t>8.15</t>
  </si>
  <si>
    <t>Cementovláknitá konstrukční deska pro vnější aplokaci, 1250x2000 mm, tl.12,5 mm (kotvit do svislého ocel.profilu pomocí samovrtných šrouobů se zápustnou hlavou)
svislý profil 380, ocel.pozink plech, šíře kotevní plochy 80 mm, tl.1 mm,
knzola L70, ocel.pozink plech pro ukotvení svislých profilů tl.1 mm
provětrávaná mezera  ( ze spodní strany dutina opatřena nerez mřížkou proti vnikání živočichů
nosná konstrukce stávající kamenné stěny, předpoklad Křemenec / pískovec na MVC, tl. 650-950mm</t>
  </si>
  <si>
    <t>Montáž dvířek revizních jednoplášťových SDK kcí vel. 200 x 200 mm pro podhledy</t>
  </si>
  <si>
    <t>dvířka revizní jednokřídlá s automatickým zámkem 200x200mm</t>
  </si>
  <si>
    <t>Montáž dvířek revizních jednoplášťových SDK kcí vel. 400 x 400 mm pro podhledy</t>
  </si>
  <si>
    <t>dvířka revizní jednokřídlá s automatickým zámkem 400x400mm</t>
  </si>
  <si>
    <t>Vysekání kapes ve zdivu cihelném na MV nebo MVC pl. Do 0,10 m2, hl.do 150 mm</t>
  </si>
  <si>
    <t>9,3*3,4</t>
  </si>
  <si>
    <t xml:space="preserve">Zazdívka stropních nosníků </t>
  </si>
  <si>
    <t>413232221R</t>
  </si>
  <si>
    <t>30,30*10</t>
  </si>
  <si>
    <t>59030710</t>
  </si>
  <si>
    <t>59030712</t>
  </si>
  <si>
    <t>763172351</t>
  </si>
  <si>
    <t>Vápenocementová omítka hladká jednovrstvá vnitřních stěn nanášená ručně - uzavřená omítka</t>
  </si>
  <si>
    <t>Nové interiérové dveře jednokřídlé, š.750 mm x v.2400 mm, 
- bezfalcové dveře v líci se stěnou ze strany m.č. 1.03
- podrobné řešení, viz.výkres mobiliáře 
- dveřní křídlo - masivní rám s voštinovou výplní
- povrchová úprava - dyhováno se suky, skládáno ala prkna, polyuretan.lak natur efekt hluboký mat s otevřeným porem. Částečně opláštěno plechem.
- interiérové dveře bez bezpečnostní odolnosti
- otevírací mechanismus - skrytý samozavírač
- oboustranné černá oliva
- zámek mechanický bezpečnostní, generální klíč
- součástí dveří je navazující obklad, P+L</t>
  </si>
  <si>
    <t>775429124</t>
  </si>
  <si>
    <t>Montáž podlahové lišty přechodové připevněné zaklapnutím</t>
  </si>
  <si>
    <t>55343110</t>
  </si>
  <si>
    <t>profil přechodový Al narážecí 30mm stříbro</t>
  </si>
  <si>
    <t>4.39</t>
  </si>
  <si>
    <t>4.40</t>
  </si>
  <si>
    <t>Montáž dvířek revizních jednoplášťových SDK kcí vel. 500 x 500 mm pro podhledy</t>
  </si>
  <si>
    <t>Nové interiérové dveře jednokřídlé, š.800 mm x v.1970 mm
- bez požadavku na požární odolnost
- plechové bazfalcové dveře, v plechové obložkové zárubni 
- v líci se stěnou z pohledové strany
- otevírání dveřního křídla - dovnitř x ven ze zárubně (D x V)
- dveřní křídlo - plechové s voštinovou výplní, v líci s obložkou 
- povrchová úprava - lak 20% lesk, RAL 1013 Mat Fine texture (bude vzorováno)
- bezpečnostní odolnost min. RC2
- otevírací mechanismus - boční válečkové panty 
- zámek mechanický bezpečnostní - generální klíč
- klika/klika, černá barva</t>
  </si>
  <si>
    <t>Nové interiérové dveře 2-křídlé, š.1600 mm x v.1970 mm, 
- v obložkové zárubni, viz. samostatný výkres
- dveřní křídlo - masivní rám s voštinovou výplní
- povrchová úprava - dýhováno, polyuretan.lak natur efekt hluboký mat s otevřeným porem. Částečné prosklení s polopropustnou bezpečnostní folií.
- interiérové dveře bez certifiokované bezpečnostní odolnosti
- otevírací mechanismus - boční 3D panty skryté
- oboustranné černá klika
- zámek mechanický bezpečnostní, generální klíč</t>
  </si>
  <si>
    <t>Nové interiérové dveře 1-křídlé, š.800 mm x v.1980 mm, 
- v obložkové zárubni, viz. samostatný výkres
- dveřní křídlo - masivní rám s voštinovou výplní
- povrchová úprava - dyhováno se suky, skládáno ala prkna, polyuretan.lak natur efekt hluboký mat s otevřeným porem. 
- interiérové dveře bez certifiokované bezpečnostní odolnosti
- otevírací mechanismus - boční 3D panty skryté
- oboustranně malo
- zámek mechanický bezpečnostní, generální klíč</t>
  </si>
  <si>
    <t>762211220R</t>
  </si>
  <si>
    <t xml:space="preserve">Montáž a dodávka schodiště přímočarého  s podstupnicemi  šířka ramene do 1 m dle výkresu N-25 </t>
  </si>
  <si>
    <t>Nové interiérové dveře 1-křídlé, š.750 mm x v.2400 mm, 
- v obložkové zárubni, viz. samostatný výkres
- dveřní křídlo - masivní rám s voštinovou výplní
- povrchová úprava - dyhováno se suky, skládáno ala prkna, polyuretan.lak natur efekt hluboký mat s otevřeným porem. Částečně opláštěno plechem.
- interiérové dveře bez bezpečnostní odolnosti
- otevírací mechanismus - skrytý samozavírač
- oboustranně černá klika
- zámek mechanický bezpečnostní, generální klíč</t>
  </si>
  <si>
    <t>Nové interiérové dveře 4-křídlé, skládací, š.2750 mm x v.2200 mm, 
- v obložkové zárubni, viz. samostatný výkres
- dveřní křídlo - masivní rám s voštinovou výplní
- povrchová úprava - dyhováno, polyuretan.lak natur efekt hluboký mat s otevřeným porem.  
- interiérové dveře bez certifiokované bezpečnostní odolnosti
- otevírací mechanismus - boční 3D panty skryté
- svislé madlo s vypáleným nápisem
- ocelové prvky komaxit RAL 9011 Fine texture
- zámek mechanický bezpečnostní - podlahový, generální klíč</t>
  </si>
  <si>
    <t>Nové interiérové zatemňovací rolety typu Black Out, elektromotoricky ovládané 
(okna do sálu jsou umístěna i v 2NP prostoru centrální lodě sálu)</t>
  </si>
  <si>
    <t>767R</t>
  </si>
  <si>
    <t>Dodávka a montáž ocelové Pz konstrukce pro uložení VZT jednotky</t>
  </si>
  <si>
    <t>Provedení prostupu (jádrový vrt) do obvodově stěny m.č.0.02, těsně pod stropem. Oboustranně zakryto nerezovou mřížkou 150x150. Potrubí KG DN125.
Přesná pozice mřížky na fasádě (ker.obkladu) bude uzpůsobena dle spárořezu.</t>
  </si>
  <si>
    <t>Rdem01</t>
  </si>
  <si>
    <t>Rdem02</t>
  </si>
  <si>
    <t>Demontáž stávajících stříšek, budky s plyn.bombou apod</t>
  </si>
  <si>
    <t>8.16</t>
  </si>
  <si>
    <t>8.17</t>
  </si>
  <si>
    <t>767881132</t>
  </si>
  <si>
    <t>70921424</t>
  </si>
  <si>
    <t>kotvicí bod pro šikmé střechy s falcovanou krytinou</t>
  </si>
  <si>
    <t>8.18</t>
  </si>
  <si>
    <t>8.19</t>
  </si>
  <si>
    <t>Nerezové lano určené pro systémy s požadavkem na permanentní kotvící vedení tl. 6 mm</t>
  </si>
  <si>
    <t>Koncovka k nerez lanu napínací pro systémy s požadavkem na permanentní kotvící vedení lano tl. 6 mm</t>
  </si>
  <si>
    <t>Montáž lana do nástavců v záchytném systému poddajného kotvícího vedení</t>
  </si>
  <si>
    <t>767881151R</t>
  </si>
  <si>
    <t>Montáž  a dodávka nástavců (středový-rohový-dělící) v záchytném systému poddajného kotvícího vedení do 50 m</t>
  </si>
  <si>
    <t>Montáž bodů  záchytného systému do šikmé střechy se střešní krytinou falcovanou</t>
  </si>
  <si>
    <t>Záchytný systém</t>
  </si>
  <si>
    <t>Zřízení záchytného systému na nově navržených Al plechových střechách, dle platné legislativy, vč. vypracování dílenské dokumentace dle projektu BOZP</t>
  </si>
  <si>
    <t>8.21</t>
  </si>
  <si>
    <t>8.22</t>
  </si>
  <si>
    <t>59030762R</t>
  </si>
  <si>
    <t>4,1+6,1+16,6+8,0+23,8</t>
  </si>
  <si>
    <t>deska z polystyrénu XPS, hrana rovná a strukturovaný povrch 300 kPa tl. 140mm</t>
  </si>
  <si>
    <t>(39,2)*1,02</t>
  </si>
  <si>
    <t>29,1*1,02</t>
  </si>
  <si>
    <t>713151131R</t>
  </si>
  <si>
    <t>Zpětná montáž svodu vč.objímek + doplnění chybějících prvků</t>
  </si>
  <si>
    <t>Zpětná montáž podokapního žlabu půlkulatého  + doplnění chybějících prvků</t>
  </si>
  <si>
    <t>Exteriérová stínící Al lamela dle  det.-01.11</t>
  </si>
  <si>
    <t>5,2+0,8+5,3</t>
  </si>
  <si>
    <t>R09</t>
  </si>
  <si>
    <t>Deska z fenolické pěny tl. 50 mm</t>
  </si>
  <si>
    <t>(3,5+2,1)*1,05</t>
  </si>
  <si>
    <t>(869,7-39,2-29,1-16,3-5,6)*1,02</t>
  </si>
  <si>
    <t>Dvířka revizní protipožární s přerušeným tepel.mostem, omítnutelná 500x600 mm</t>
  </si>
  <si>
    <t>Dvířka revizní protipožární s přerušeným tepel.mostem, omítnutelná 640x1500 mm</t>
  </si>
  <si>
    <t>Fólie kontaktní difuzně propustná pro doplňkovou hydroizolační vrstvu</t>
  </si>
  <si>
    <t>435123902R</t>
  </si>
  <si>
    <t>R03</t>
  </si>
  <si>
    <t>R04</t>
  </si>
  <si>
    <t>R05</t>
  </si>
  <si>
    <t>R10</t>
  </si>
  <si>
    <t>R11</t>
  </si>
  <si>
    <t>R12</t>
  </si>
  <si>
    <t>Svislé a kompletní konstrukce + úpravy povrchů</t>
  </si>
  <si>
    <t>dvířka revizní jednokřídlá s automatickým zámkem 500x500mm</t>
  </si>
  <si>
    <t>Vápenocementová omítka hladká jednovrstvá vnitřních stěn nanášená ručně- uzavřená omítka</t>
  </si>
  <si>
    <t>5.48</t>
  </si>
  <si>
    <t>5.49</t>
  </si>
  <si>
    <t>5.50</t>
  </si>
  <si>
    <t>Nové interiérové dveře jednokřídlé, š.600 mm x v.1970 mm, levé
- bez požadavku na požární odolnost
- plechové bazfalcové dveře, v plechové obložkové zárubni 
- v líci se stěnou z pohledové strany
- otevírání dveřního křídla - dovnitř x ven ze zárubně (D x V)
- dveřní křídlo - plechové s voštinovou výplní, v líci s obložkou 
- povrchová úprava - lak 20% lesk, RAL 1013 Mat Fine texture (bude vzorováno)
- bezpečnostní odolnost min. RC2
- otevírací mechanismus - boční válečkové panty 
- zámek mechanický bezpečnostní   - generální klíč
- klika/klika, černá barva</t>
  </si>
  <si>
    <t>Nové interiérové dveře jednokřídlé, š.800 mm x v.1970 mm, levé, pravé
- bez požadavku na požární odolnost
- plechové bazfalcové dveře, v plechové obložkové zárubni 
- v líci se stěnou z pohledové strany
- otevírání dveřního křídla - dovnitř x ven ze zárubně (D x V)
- dveřní křídlo - plechové s voštinovou výplní, v líci s obložkou 
- povrchová úprava - lak 20% lesk, RAL 1013 Mat Fine texture (bude vzorováno)
- bezpečnostní odolnost min. RC2
- otevírací mechanismus - boční válečkové panty 
- zámek mechanický bezpečnostní   - generální klíč
- klika/klika, černá barva</t>
  </si>
  <si>
    <t>775413401</t>
  </si>
  <si>
    <t>Montáž podlahové lišty obvodové lepené</t>
  </si>
  <si>
    <t>61418101</t>
  </si>
  <si>
    <t>lišta podlahová dřevěná dub 8x35mm</t>
  </si>
  <si>
    <t xml:space="preserve">Montáž soklů z dlaždic  keramických rovných flexibilní lepidlo </t>
  </si>
  <si>
    <t>12,0+4,8+5,8+3,0</t>
  </si>
  <si>
    <t>Vápenocementová omítka hladká jednovrstvá vnitřních stěn nanášená ručně - uzavřená</t>
  </si>
  <si>
    <t xml:space="preserve">Nová interiérová zatemňovací roleta typu Black Out, elektromotoricky ovládaná 2060x1750 mm </t>
  </si>
  <si>
    <t>5.51</t>
  </si>
  <si>
    <t>5.52</t>
  </si>
  <si>
    <t>5.53</t>
  </si>
  <si>
    <t>Nové interiérové dveře jednokřídlé, š.800 mm x v.1970 mm
- bez požadavku na požární odolnost
- plechové bazfalcové dveře, v plechové obložkové zárubni 
- v líci se stěnou z pohledové strany
- otevírání dveřního křídla - dovnitř x ven ze zárubně (D x V)
- dveřní křídlo - plechové s voštinovou výplní, v líci s obložkou 
- povrchová úprava - lak 20% lesk, RAL 1013 Mat Fine texture (bude vzorováno)
- bezpečnostní odolnost min. RC2
- otevírací mechanismus - boční válečkové panty 
- zámek mechanický bezpečnostní  - generální klíč
- klika/klika, černá barva</t>
  </si>
  <si>
    <t>Nové interiérové dveře jednokřídlé, š.900 mm x v.1970 mm
- bez požadavku na požární odolnost
- plechové bazfalcové dveře, v plechové obložkové zárubni 
- v líci se stěnou z pohledové strany
- otevírání dveřního křídla - dovnitř x ven ze zárubně (D x V)
- dveřní křídlo - plechové s voštinovou výplní, v líci s obložkou 
- povrchová úprava - lak 20% lesk, RAL 1013 Mat Fine texture (bude vzorováno)
- bezpečnostní odolnost min. RC2
- otevírací mechanismus - boční válečkové panty 
- zámek mechanický bezpečnostní  - generální klíč
- klika/klika, černá barva</t>
  </si>
  <si>
    <t>Nové interiérové dveře jednokřídlé, š.800 mm x v.1970 mm
- protipožární: EI30 DP3-C + PANIKOVÁ KLIKA VE SMĚRU ÚNIKU
- plechové bazfalcové dveře, v plechové obložkové zárubni 
- v líci se stěnou z pohledové strany
- otevírání dveřního křídla - dovnitř x ven ze zárubně (D x V)
- dveřní křídlo - plechové s voštinovou výplní, v líci s obložkou 
- povrchová úprava - lak 20% lesk, RAL 1013 Mat Fine texture (bude vzorováno)
- bezpečnostní odolnost min. RC2
- otevírací mechanismus - boční válečkové panty 
- zámek mechanický bezpečnostní  - generální klíč
- klika/klika, černá barva</t>
  </si>
  <si>
    <t>Nové interiérové dveře 2-křídlé, š.1600 mm x v.1970 mm, 
- v obložkové zárubni, viz. samostatný výkres
- dveřní křídlo - masivní rám s voštinovou výplní
- povrchová úprava - dyhováno se suky, polyuretan.lak natur efekt hluboký mat s otevřeným porem. Částečné prosklení s polopropustnou bezpečnostní folií.
- interiérové dveře bez certifikované bezpečnostní odolnosti
- otevírací mechanismus - boční 3D panty skryté
- oboustranné černá klika
- zámek mechanický bezpečnostní , generální klíč</t>
  </si>
  <si>
    <t>Nové interiérové dveře jednokřídlé, š.900 mm x v.1970 mm, 
- bazfalcové dveře v líci se stěnou ze strany m.č. 1.19
- otevírání pravé dovnitř
- podrobné řešení, viz.výkres mobiliáře 
- dveřní křídlo - masivní rám s voštinovou výplní
- povrchová úprava - dyhováno se suky, skládáno ala prkna, polyuretan.lak natur efekt hluboký mat s otevřeným porem. Částečně opláštěno plechem.
- interiérové dveře bez bezpečnostní odolnosti
- otevírací mechanismus - skrytý samozavírač
- oboustranně černá klika
- zámek mechanický bezpečnostní , generální klíč
- součástí dveří je navazující obklad stěny a nadpraží</t>
  </si>
  <si>
    <t>16,0+6,5+5,2+14,5+19,5+5,7</t>
  </si>
  <si>
    <t>1,88*2,0*0,5+1,0*2,0*0,4+0,8*3,3*0,4+1,7*2,8*0,3+0,55*0,25*0,6+0,8*2,2*2*0,6+0,55*0,25*0,46+4,6*0,375</t>
  </si>
  <si>
    <t>Nové interiérové dveře jednokřídlé, š.700 mm x v.1970 mm
- bez požadavku na požární odolnost
- plechové bazfalcové dveře, v plechové obložkové zárubni 
- v líci se stěnou z pohledové strany
- otevírání dveřního křídla - dovnitř x ven ze zárubně (D x V)
- dveřní křídlo - plechové s voštinovou výplní, v líci s obložkou 
- povrchová úprava - lak 20% lesk, RAL 1013 Mat Fine texture (bude vzorováno)
- bezpečnostní odolnost min. RC2
- otevírací mechanismus - boční válečkové panty 
- zámek mechanický bezpečnostní  - generální klíč
- klika/klika, černá barva</t>
  </si>
  <si>
    <t>Vápenocementová omítka hladká jednovrstvá vnitřních stěn nanášená ručně uzavřená</t>
  </si>
  <si>
    <t>(53,9+25,5+11,6+6,8)*2,0</t>
  </si>
  <si>
    <t>Montáž obvodových lišt lepením</t>
  </si>
  <si>
    <t>Lišta kobercová 55x9 mm</t>
  </si>
  <si>
    <t xml:space="preserve">Demontáž stávajících  prvků na fasádě - (okenní mříže, mřížky, lampa osvětlení, reklamní  poutače apod.) </t>
  </si>
  <si>
    <t>Konstrukce pokrývačské - úprava stávající betonové krytiny</t>
  </si>
  <si>
    <t>Demontáž krytiny betonové sklonu do 30st. na sucho k dalšímu použití</t>
  </si>
  <si>
    <t>Tesařské prodloužení krokví stávající střechy z důvodu zateplení</t>
  </si>
  <si>
    <t>Montáž krytiny betonové skllonu do 30st. na sucho do 7,5 ks/m2</t>
  </si>
  <si>
    <t>(38,3+66,1+12,0)*0,3</t>
  </si>
  <si>
    <t>(38,3+66,1+12,0)*0,8</t>
  </si>
  <si>
    <t>10.8</t>
  </si>
  <si>
    <t>10.9</t>
  </si>
  <si>
    <t>10.10</t>
  </si>
  <si>
    <t>Montáž izolace tepelné střech šikmých kladené volně  rohoží, pásů, desek sklonu do 30°  -  zateplení stropů Ytong</t>
  </si>
  <si>
    <t>Zdivo z porobetonových tvárnic hladkých do P2 do 450 kg/m3 na tenkovrstvou maltu tl. 375 mm</t>
  </si>
  <si>
    <t>0,5*2,9</t>
  </si>
  <si>
    <t>311R01</t>
  </si>
  <si>
    <t>Tepelně izolační doplněk z tvrdé fenolické pěny  tl. 50 mm - schodiště</t>
  </si>
  <si>
    <t>Montáž hladkých ozdobných prvků s převažujícím délkovým rozměrem výšky (šířky) do 200 mm na fasády,  úprava tvaru a zaoblení - viz výkres detailu</t>
  </si>
  <si>
    <t>dekorační prvek fasádní šambrána š do 200mm  - viz výkres detailu</t>
  </si>
  <si>
    <t>Montáž hladkých ozdobných prvků dekorační prvek fasádní - dodávka a montáž, úprava tvaru a zaoblení  - viz výkres detailu</t>
  </si>
  <si>
    <t>283R02</t>
  </si>
  <si>
    <t>ex.stínící lamela</t>
  </si>
  <si>
    <t>2.34</t>
  </si>
  <si>
    <r>
      <t>Vnější dřevěné okno -</t>
    </r>
    <r>
      <rPr>
        <sz val="9"/>
        <rFont val="Arial"/>
        <family val="2"/>
      </rPr>
      <t xml:space="preserve"> vnější viditelný rozměr:3940x1750mm
- skutečný rozměr rámu:4030x1840mm 
Profil: dřevené okno bezfalcové, Dřevina:smrk 
Barva fixního rámu:transparetní lak mat
Barva otvíravých křídel: transparetní lak mat
Výplň: otvíravé okno-panel 68mm dub, 
Splňuje požadavek Ucelk = 0,96 W/Km2
Sklo: fixní zasklení-6ESG4/16/6/16/6 Ug=0,6
Silikon: transparentní, Rám: rám okenní
Kování: pevně v rámu, otvírání/sklápění dle schematu
Křídlo: pevně-zasklívací drážka, 2 * okenní křídlo rám dokola 75
Příčky: příčka dřevěná 65mm/120mm
Okapnice: al+dřevěné překrytí, Těsnění: bílé
Typ kování: skryté panty, nerezové kliky
Parapet vnější:Keramický
Parapet vnitřní:Dřevěný parapet, masiv dub natural mat + dřevěný obklad .... viz. výkres N01-16</t>
    </r>
  </si>
  <si>
    <t>Vnější čistící rohož guma-nerez, tl. 17mm, (v úpravě vhodné pro pojezd invalidním vozíčkem), (vsazena do nerez.rámečku v líci s podlahou), 2x hydroizolační stěrka, tl. 1mm, (zajistit odtok vody z "vaničky" čisticí rohože), vyrovnávací samonivelační stěrka, tl. 2mm, hloubková penetrace, vč.odtokového kanálku</t>
  </si>
  <si>
    <t>SO 01</t>
  </si>
  <si>
    <t>SO 02</t>
  </si>
  <si>
    <t>SO 03</t>
  </si>
  <si>
    <t>SO 04</t>
  </si>
  <si>
    <t>SO 05</t>
  </si>
  <si>
    <t>SO 06</t>
  </si>
  <si>
    <t>SO 07</t>
  </si>
  <si>
    <t>SO 08</t>
  </si>
  <si>
    <t>Zařízení staveniště dodavatele
vč. vedlejších nákladů stavby, BOZP, ztížené pracovní podmínky, atd.</t>
  </si>
  <si>
    <t>Demontáž kamenných destišek s letopočtem výstavby, po provedení stavebních prací zpětná instalace</t>
  </si>
  <si>
    <t>Zhotovitel prohlašuje, že podmínky a rozsah poptávky ( výkresové a textové části a soupisu výkonů) podrobně prostudoval, že jsou mu zcela jasné a jednoznačné a tím bere na vědomí, že na veškeré nároky, které vyplynou dodatečně, z důvodu nepochopení či  nerespektování těchto podmínek, nebude brán zřetel.</t>
  </si>
  <si>
    <t>Zpracovatel nabídky je  prověřil specifikace a výměry uvedené v soupisu výkonů  s vlastní poptávkou . V případě zjištěných rozdílů na tyto písemně upozornil v nabídce.  Následné změny výměr v průběhu realizace nebudou akceptovány.</t>
  </si>
  <si>
    <t>Jméno společnosti:</t>
  </si>
  <si>
    <t>Zodpovědná osoba :</t>
  </si>
  <si>
    <t>Podpis:</t>
  </si>
  <si>
    <t>Datum:</t>
  </si>
  <si>
    <t>PZTS - sběrnicový kabel čtyřžilový</t>
  </si>
  <si>
    <t>PZTS - proximity klíčenka, počet bude upřesněn investorem</t>
  </si>
  <si>
    <t>PZTS - vnitřní siréna</t>
  </si>
  <si>
    <t>PZTS - venkovní siréna s majákem</t>
  </si>
  <si>
    <t>PZTS - klávesnice s proximity čtečkou, displejem a ovládacími tlačítky</t>
  </si>
  <si>
    <t>Tlačítkové tablo s audio komunikátorem, pro digitální systém, min. 3 tlačítka pro koncová zařízení</t>
  </si>
  <si>
    <t>Napájecí zdroj (ústředna) pro domovní telefon, digitální systém</t>
  </si>
  <si>
    <t>Domovní telefon, audio, digitální systém, tlačítkový, s tlačítkem pro otevírání dveří</t>
  </si>
  <si>
    <t>PZTS - detektor kouře stropní</t>
  </si>
  <si>
    <t>PZTS - detektor pohybu nástěnný</t>
  </si>
  <si>
    <t>PZTS - magnetický kontakt závrtný</t>
  </si>
  <si>
    <t>PZTS - ústředna pro sběrnicový systém, včentě skříně, min. 100 zón, rezerva pro budoucí rozšíření zón, GSM + PSTN komunikátor, tamper kontakt, typ systému podle stávajících systémů používaných v obci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</si>
</sst>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0.00_);[Red]\(#,##0.00\)"/>
    <numFmt numFmtId="167" formatCode="0.000"/>
    <numFmt numFmtId="168" formatCode="0.0000"/>
  </numFmts>
  <fonts count="69">
    <font>
      <sz val="10"/>
      <name val="Arial"/>
      <family val="2"/>
    </font>
    <font>
      <sz val="11"/>
      <color theme="1"/>
      <name val="Calibri"/>
      <family val="2"/>
      <scheme val="minor"/>
    </font>
    <font>
      <sz val="10"/>
      <name val="Arial CE"/>
      <family val="2"/>
    </font>
    <font>
      <sz val="11"/>
      <color indexed="8"/>
      <name val="Calibri"/>
      <family val="2"/>
    </font>
    <font>
      <sz val="14"/>
      <name val="Arial CE"/>
      <family val="2"/>
    </font>
    <font>
      <sz val="10"/>
      <name val="MS Sans Serif"/>
      <family val="2"/>
    </font>
    <font>
      <b/>
      <sz val="12"/>
      <name val="Arial"/>
      <family val="2"/>
    </font>
    <font>
      <sz val="9"/>
      <name val="Arial"/>
      <family val="2"/>
    </font>
    <font>
      <b/>
      <sz val="13"/>
      <name val="Arial"/>
      <family val="2"/>
    </font>
    <font>
      <sz val="12"/>
      <name val="Arial Black"/>
      <family val="2"/>
    </font>
    <font>
      <sz val="12"/>
      <name val="Arial"/>
      <family val="2"/>
    </font>
    <font>
      <b/>
      <sz val="9"/>
      <name val="Arial"/>
      <family val="2"/>
    </font>
    <font>
      <b/>
      <sz val="10"/>
      <name val="Arial"/>
      <family val="2"/>
    </font>
    <font>
      <b/>
      <sz val="10"/>
      <color indexed="8"/>
      <name val="Arial"/>
      <family val="2"/>
    </font>
    <font>
      <u val="single"/>
      <sz val="10"/>
      <name val="Arial"/>
      <family val="2"/>
    </font>
    <font>
      <i/>
      <sz val="10"/>
      <name val="Arial"/>
      <family val="2"/>
    </font>
    <font>
      <sz val="10"/>
      <color indexed="12"/>
      <name val="Arial"/>
      <family val="2"/>
    </font>
    <font>
      <sz val="10"/>
      <color indexed="9"/>
      <name val="Arial"/>
      <family val="2"/>
    </font>
    <font>
      <sz val="9"/>
      <name val="Arial Black"/>
      <family val="2"/>
    </font>
    <font>
      <b/>
      <sz val="9"/>
      <color indexed="8"/>
      <name val="Arial"/>
      <family val="2"/>
    </font>
    <font>
      <sz val="8"/>
      <color indexed="9"/>
      <name val="Arial"/>
      <family val="2"/>
    </font>
    <font>
      <sz val="8"/>
      <name val="Arial"/>
      <family val="2"/>
    </font>
    <font>
      <b/>
      <sz val="11"/>
      <color indexed="17"/>
      <name val="Arial"/>
      <family val="2"/>
    </font>
    <font>
      <b/>
      <sz val="11"/>
      <name val="Arial"/>
      <family val="2"/>
    </font>
    <font>
      <sz val="9"/>
      <color indexed="9"/>
      <name val="Arial"/>
      <family val="2"/>
    </font>
    <font>
      <b/>
      <i/>
      <sz val="10"/>
      <name val="Arial"/>
      <family val="2"/>
    </font>
    <font>
      <sz val="9"/>
      <color indexed="9"/>
      <name val="Arial CE"/>
      <family val="2"/>
    </font>
    <font>
      <i/>
      <sz val="9"/>
      <color indexed="12"/>
      <name val="Arial"/>
      <family val="2"/>
    </font>
    <font>
      <i/>
      <sz val="9"/>
      <color indexed="9"/>
      <name val="Arial CE"/>
      <family val="2"/>
    </font>
    <font>
      <i/>
      <sz val="10"/>
      <color indexed="9"/>
      <name val="Arial"/>
      <family val="2"/>
    </font>
    <font>
      <i/>
      <sz val="10"/>
      <color indexed="12"/>
      <name val="Arial"/>
      <family val="2"/>
    </font>
    <font>
      <b/>
      <i/>
      <sz val="9"/>
      <name val="Arial"/>
      <family val="2"/>
    </font>
    <font>
      <b/>
      <sz val="9"/>
      <color indexed="9"/>
      <name val="Arial CE"/>
      <family val="2"/>
    </font>
    <font>
      <b/>
      <sz val="10"/>
      <color indexed="9"/>
      <name val="Arial"/>
      <family val="2"/>
    </font>
    <font>
      <sz val="9"/>
      <name val="Arial CE"/>
      <family val="2"/>
    </font>
    <font>
      <b/>
      <sz val="9"/>
      <color indexed="17"/>
      <name val="Arial"/>
      <family val="2"/>
    </font>
    <font>
      <i/>
      <sz val="9"/>
      <color indexed="12"/>
      <name val="Arial CE"/>
      <family val="2"/>
    </font>
    <font>
      <b/>
      <i/>
      <sz val="10"/>
      <color indexed="9"/>
      <name val="Arial"/>
      <family val="2"/>
    </font>
    <font>
      <b/>
      <i/>
      <sz val="9"/>
      <color indexed="9"/>
      <name val="Arial CE"/>
      <family val="2"/>
    </font>
    <font>
      <sz val="10"/>
      <color indexed="8"/>
      <name val="Arial"/>
      <family val="2"/>
    </font>
    <font>
      <b/>
      <sz val="14"/>
      <color indexed="17"/>
      <name val="Arial"/>
      <family val="2"/>
    </font>
    <font>
      <b/>
      <sz val="12"/>
      <color indexed="17"/>
      <name val="Arial"/>
      <family val="2"/>
    </font>
    <font>
      <sz val="9"/>
      <color indexed="12"/>
      <name val="Arial"/>
      <family val="2"/>
    </font>
    <font>
      <i/>
      <sz val="9"/>
      <name val="Arial CE"/>
      <family val="2"/>
    </font>
    <font>
      <b/>
      <i/>
      <sz val="9"/>
      <color indexed="12"/>
      <name val="Arial"/>
      <family val="2"/>
    </font>
    <font>
      <b/>
      <i/>
      <sz val="9"/>
      <color indexed="12"/>
      <name val="Arial CE"/>
      <family val="2"/>
    </font>
    <font>
      <b/>
      <i/>
      <sz val="10"/>
      <color indexed="12"/>
      <name val="Arial"/>
      <family val="2"/>
    </font>
    <font>
      <b/>
      <sz val="9"/>
      <name val="Arial CE"/>
      <family val="2"/>
    </font>
    <font>
      <sz val="9"/>
      <color indexed="12"/>
      <name val="Arial CE"/>
      <family val="2"/>
    </font>
    <font>
      <i/>
      <sz val="9"/>
      <name val="Arial"/>
      <family val="2"/>
    </font>
    <font>
      <sz val="11"/>
      <name val="Arial"/>
      <family val="2"/>
    </font>
    <font>
      <sz val="10"/>
      <color rgb="FFFF0000"/>
      <name val="Arial"/>
      <family val="2"/>
    </font>
    <font>
      <b/>
      <sz val="9"/>
      <color rgb="FF0000FF"/>
      <name val="Arial"/>
      <family val="2"/>
    </font>
    <font>
      <i/>
      <sz val="9"/>
      <color rgb="FF0000FF"/>
      <name val="Arial"/>
      <family val="2"/>
    </font>
    <font>
      <sz val="10"/>
      <color theme="0"/>
      <name val="Arial"/>
      <family val="2"/>
    </font>
    <font>
      <i/>
      <sz val="10"/>
      <color rgb="FF0000FF"/>
      <name val="Arial"/>
      <family val="2"/>
    </font>
    <font>
      <b/>
      <sz val="10"/>
      <color theme="0"/>
      <name val="Arial"/>
      <family val="2"/>
    </font>
    <font>
      <i/>
      <sz val="9"/>
      <color rgb="FF0000FF"/>
      <name val="Arial CE"/>
      <family val="2"/>
    </font>
    <font>
      <i/>
      <sz val="10"/>
      <color theme="0"/>
      <name val="Arial"/>
      <family val="2"/>
    </font>
    <font>
      <b/>
      <sz val="9"/>
      <color theme="0"/>
      <name val="Arial CE"/>
      <family val="2"/>
    </font>
    <font>
      <sz val="9"/>
      <color rgb="FF000000"/>
      <name val="Arial"/>
      <family val="2"/>
    </font>
    <font>
      <sz val="10"/>
      <color rgb="FF0000FF"/>
      <name val="Arial"/>
      <family val="2"/>
    </font>
    <font>
      <b/>
      <sz val="10"/>
      <color rgb="FF0000FF"/>
      <name val="Arial"/>
      <family val="2"/>
    </font>
    <font>
      <sz val="9"/>
      <color theme="0"/>
      <name val="Arial CE"/>
      <family val="2"/>
    </font>
    <font>
      <b/>
      <i/>
      <sz val="9"/>
      <color rgb="FF0000FF"/>
      <name val="Arial"/>
      <family val="2"/>
    </font>
    <font>
      <i/>
      <sz val="9"/>
      <color theme="0"/>
      <name val="Arial CE"/>
      <family val="2"/>
    </font>
    <font>
      <b/>
      <i/>
      <sz val="10"/>
      <color theme="0"/>
      <name val="Arial"/>
      <family val="2"/>
    </font>
    <font>
      <u val="single"/>
      <sz val="10"/>
      <color theme="10"/>
      <name val="Arial"/>
      <family val="2"/>
    </font>
    <font>
      <u val="single"/>
      <sz val="10"/>
      <color theme="11"/>
      <name val="Arial"/>
      <family val="2"/>
    </font>
  </fonts>
  <fills count="18">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40"/>
        <bgColor indexed="64"/>
      </patternFill>
    </fill>
    <fill>
      <patternFill patternType="solid">
        <fgColor indexed="46"/>
        <bgColor indexed="64"/>
      </patternFill>
    </fill>
    <fill>
      <patternFill patternType="solid">
        <fgColor rgb="FFCCFFCC"/>
        <bgColor indexed="64"/>
      </patternFill>
    </fill>
    <fill>
      <patternFill patternType="solid">
        <fgColor rgb="FFCCFF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9522"/>
        <bgColor indexed="64"/>
      </patternFill>
    </fill>
  </fills>
  <borders count="96">
    <border>
      <left/>
      <right/>
      <top/>
      <bottom/>
      <diagonal/>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right style="medium">
        <color indexed="8"/>
      </right>
      <top style="medium">
        <color indexed="8"/>
      </top>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bottom style="hair">
        <color indexed="8"/>
      </bottom>
    </border>
    <border>
      <left style="thin">
        <color indexed="8"/>
      </left>
      <right style="thin">
        <color indexed="8"/>
      </right>
      <top/>
      <bottom style="hair">
        <color indexed="8"/>
      </bottom>
    </border>
    <border>
      <left style="thin">
        <color indexed="8"/>
      </left>
      <right style="medium">
        <color indexed="8"/>
      </right>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top style="medium">
        <color indexed="8"/>
      </top>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top/>
      <bottom style="medium">
        <color indexed="8"/>
      </bottom>
    </border>
    <border>
      <left style="medium">
        <color indexed="8"/>
      </left>
      <right style="thin">
        <color indexed="8"/>
      </right>
      <top style="medium">
        <color indexed="8"/>
      </top>
      <bottom style="hair">
        <color indexed="8"/>
      </bottom>
    </border>
    <border>
      <left/>
      <right/>
      <top style="medium">
        <color indexed="8"/>
      </top>
      <bottom style="hair">
        <color indexed="8"/>
      </bottom>
    </border>
    <border>
      <left style="thin">
        <color indexed="8"/>
      </left>
      <right style="thin">
        <color indexed="8"/>
      </right>
      <top style="medium">
        <color indexed="8"/>
      </top>
      <bottom style="hair">
        <color indexed="8"/>
      </bottom>
    </border>
    <border>
      <left/>
      <right style="medium">
        <color indexed="8"/>
      </right>
      <top style="medium">
        <color indexed="8"/>
      </top>
      <bottom style="hair">
        <color indexed="8"/>
      </bottom>
    </border>
    <border>
      <left/>
      <right/>
      <top style="hair">
        <color indexed="8"/>
      </top>
      <bottom style="hair">
        <color indexed="8"/>
      </bottom>
    </border>
    <border>
      <left/>
      <right style="medium">
        <color indexed="8"/>
      </right>
      <top style="hair">
        <color indexed="8"/>
      </top>
      <bottom style="hair">
        <color indexed="8"/>
      </bottom>
    </border>
    <border>
      <left style="medium">
        <color indexed="8"/>
      </left>
      <right style="thin">
        <color indexed="8"/>
      </right>
      <top style="hair">
        <color indexed="8"/>
      </top>
      <bottom/>
    </border>
    <border>
      <left style="thin">
        <color indexed="8"/>
      </left>
      <right style="thin">
        <color indexed="8"/>
      </right>
      <top style="hair">
        <color indexed="8"/>
      </top>
      <bottom/>
    </border>
    <border>
      <left style="thin">
        <color indexed="8"/>
      </left>
      <right style="medium">
        <color indexed="8"/>
      </right>
      <top style="hair">
        <color indexed="8"/>
      </top>
      <bottom/>
    </border>
    <border>
      <left style="thin">
        <color indexed="55"/>
      </left>
      <right/>
      <top/>
      <bottom/>
    </border>
    <border>
      <left style="medium">
        <color indexed="8"/>
      </left>
      <right style="thin">
        <color indexed="8"/>
      </right>
      <top/>
      <bottom/>
    </border>
    <border>
      <left style="thin">
        <color indexed="8"/>
      </left>
      <right style="thin">
        <color indexed="8"/>
      </right>
      <top/>
      <bottom/>
    </border>
    <border>
      <left/>
      <right style="thin">
        <color indexed="8"/>
      </right>
      <top/>
      <bottom/>
    </border>
    <border>
      <left style="thin">
        <color indexed="8"/>
      </left>
      <right style="medium">
        <color indexed="8"/>
      </right>
      <top style="medium">
        <color indexed="8"/>
      </top>
      <bottom/>
    </border>
    <border>
      <left style="thin">
        <color indexed="8"/>
      </left>
      <right style="medium">
        <color indexed="8"/>
      </right>
      <top style="medium">
        <color indexed="8"/>
      </top>
      <bottom style="hair">
        <color indexed="8"/>
      </bottom>
    </border>
    <border>
      <left style="medium">
        <color indexed="8"/>
      </left>
      <right style="medium">
        <color indexed="8"/>
      </right>
      <top style="medium">
        <color indexed="8"/>
      </top>
      <bottom style="medium">
        <color indexed="8"/>
      </bottom>
    </border>
    <border>
      <left style="medium"/>
      <right/>
      <top style="medium"/>
      <bottom/>
    </border>
    <border>
      <left/>
      <right/>
      <top style="medium"/>
      <bottom/>
    </border>
    <border>
      <left style="medium"/>
      <right/>
      <top/>
      <bottom/>
    </border>
    <border>
      <left style="medium"/>
      <right/>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style="medium"/>
      <right style="thin">
        <color indexed="8"/>
      </right>
      <top style="medium">
        <color indexed="8"/>
      </top>
      <bottom/>
    </border>
    <border>
      <left/>
      <right style="medium"/>
      <top style="medium">
        <color indexed="8"/>
      </top>
      <bottom/>
    </border>
    <border>
      <left style="medium"/>
      <right style="thin">
        <color indexed="8"/>
      </right>
      <top/>
      <bottom style="medium">
        <color indexed="8"/>
      </bottom>
    </border>
    <border>
      <left/>
      <right style="medium"/>
      <top/>
      <bottom style="medium">
        <color indexed="8"/>
      </bottom>
    </border>
    <border>
      <left style="medium"/>
      <right style="thin">
        <color indexed="8"/>
      </right>
      <top style="medium">
        <color indexed="8"/>
      </top>
      <bottom style="hair">
        <color indexed="8"/>
      </bottom>
    </border>
    <border>
      <left/>
      <right style="medium"/>
      <top style="medium">
        <color indexed="8"/>
      </top>
      <bottom style="hair">
        <color indexed="8"/>
      </bottom>
    </border>
    <border>
      <left style="medium"/>
      <right style="thin">
        <color indexed="8"/>
      </right>
      <top style="hair">
        <color indexed="8"/>
      </top>
      <bottom style="hair">
        <color indexed="8"/>
      </bottom>
    </border>
    <border>
      <left/>
      <right style="medium"/>
      <top style="hair">
        <color indexed="8"/>
      </top>
      <bottom style="hair">
        <color indexed="8"/>
      </bottom>
    </border>
    <border>
      <left style="thin">
        <color indexed="8"/>
      </left>
      <right style="medium"/>
      <top style="hair">
        <color indexed="8"/>
      </top>
      <bottom style="hair">
        <color indexed="8"/>
      </bottom>
    </border>
    <border>
      <left style="medium"/>
      <right style="thin">
        <color indexed="8"/>
      </right>
      <top style="hair">
        <color indexed="8"/>
      </top>
      <bottom/>
    </border>
    <border>
      <left style="thin">
        <color indexed="8"/>
      </left>
      <right style="medium"/>
      <top style="hair">
        <color indexed="8"/>
      </top>
      <bottom/>
    </border>
    <border>
      <left style="medium"/>
      <right style="thin">
        <color indexed="8"/>
      </right>
      <top/>
      <bottom style="hair">
        <color indexed="8"/>
      </bottom>
    </border>
    <border>
      <left style="thin">
        <color indexed="8"/>
      </left>
      <right style="medium"/>
      <top/>
      <bottom style="hair">
        <color indexed="8"/>
      </bottom>
    </border>
    <border>
      <left style="medium"/>
      <right style="thin">
        <color indexed="8"/>
      </right>
      <top/>
      <bottom/>
    </border>
    <border>
      <left/>
      <right style="medium"/>
      <top/>
      <bottom/>
    </border>
    <border>
      <left style="thin">
        <color indexed="8"/>
      </left>
      <right style="medium"/>
      <top style="medium">
        <color indexed="8"/>
      </top>
      <bottom style="hair">
        <color indexed="8"/>
      </bottom>
    </border>
    <border>
      <left style="thin">
        <color indexed="8"/>
      </left>
      <right style="medium"/>
      <top style="hair">
        <color indexed="8"/>
      </top>
      <bottom style="medium">
        <color indexed="8"/>
      </bottom>
    </border>
    <border>
      <left style="medium"/>
      <right/>
      <top style="medium">
        <color indexed="8"/>
      </top>
      <bottom style="medium"/>
    </border>
    <border>
      <left/>
      <right/>
      <top style="medium">
        <color indexed="8"/>
      </top>
      <bottom style="medium"/>
    </border>
    <border>
      <left style="medium">
        <color indexed="8"/>
      </left>
      <right style="medium"/>
      <top style="medium">
        <color indexed="8"/>
      </top>
      <bottom style="medium"/>
    </border>
    <border>
      <left style="thin"/>
      <right style="thin"/>
      <top style="hair"/>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hair">
        <color indexed="8"/>
      </bottom>
    </border>
    <border>
      <left style="thin"/>
      <right style="medium"/>
      <top style="hair"/>
      <bottom style="hair">
        <color indexed="8"/>
      </bottom>
    </border>
    <border>
      <left/>
      <right style="thin">
        <color indexed="8"/>
      </right>
      <top style="hair">
        <color indexed="8"/>
      </top>
      <bottom style="hair">
        <color indexed="8"/>
      </bottom>
    </border>
    <border>
      <left style="medium">
        <color indexed="8"/>
      </left>
      <right/>
      <top/>
      <bottom style="hair">
        <color indexed="8"/>
      </bottom>
    </border>
    <border>
      <left style="thin">
        <color rgb="FFA9A9A9"/>
      </left>
      <right style="thin">
        <color rgb="FFA9A9A9"/>
      </right>
      <top style="thin">
        <color rgb="FFA9A9A9"/>
      </top>
      <bottom style="thin">
        <color rgb="FFA9A9A9"/>
      </bottom>
    </border>
    <border>
      <left style="medium"/>
      <right/>
      <top style="hair">
        <color indexed="8"/>
      </top>
      <bottom style="hair">
        <color indexed="8"/>
      </bottom>
    </border>
    <border>
      <left/>
      <right style="thin"/>
      <top style="hair"/>
      <bottom style="hair"/>
    </border>
    <border>
      <left/>
      <right style="thin">
        <color indexed="8"/>
      </right>
      <top/>
      <bottom style="hair">
        <color indexed="8"/>
      </bottom>
    </border>
    <border>
      <left/>
      <right style="thin"/>
      <top style="hair"/>
      <bottom/>
    </border>
    <border>
      <left style="thin"/>
      <right style="thin"/>
      <top/>
      <bottom style="hair"/>
    </border>
    <border>
      <left style="thin">
        <color indexed="8"/>
      </left>
      <right style="medium">
        <color indexed="8"/>
      </right>
      <top/>
      <bottom/>
    </border>
    <border>
      <left style="thin"/>
      <right/>
      <top/>
      <bottom style="hair"/>
    </border>
    <border>
      <left style="medium">
        <color indexed="8"/>
      </left>
      <right style="thin"/>
      <top style="hair"/>
      <bottom/>
    </border>
    <border>
      <left style="thin"/>
      <right style="medium">
        <color indexed="8"/>
      </right>
      <top style="hair"/>
      <bottom/>
    </border>
    <border>
      <left style="thin"/>
      <right style="medium">
        <color indexed="8"/>
      </right>
      <top style="hair"/>
      <bottom style="hair"/>
    </border>
    <border>
      <left style="medium">
        <color indexed="8"/>
      </left>
      <right style="thin"/>
      <top style="hair"/>
      <bottom style="hair"/>
    </border>
    <border>
      <left style="thin">
        <color indexed="8"/>
      </left>
      <right/>
      <top style="hair">
        <color indexed="8"/>
      </top>
      <bottom style="hair">
        <color indexed="8"/>
      </bottom>
    </border>
    <border>
      <left/>
      <right style="medium">
        <color indexed="8"/>
      </right>
      <top style="medium"/>
      <bottom/>
    </border>
    <border>
      <left/>
      <right style="medium"/>
      <top style="medium"/>
      <bottom/>
    </border>
    <border>
      <left style="thin">
        <color indexed="8"/>
      </left>
      <right style="medium"/>
      <top/>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1448">
    <xf numFmtId="0" fontId="0" fillId="0" borderId="0" xfId="0"/>
    <xf numFmtId="0" fontId="0" fillId="0" borderId="1" xfId="0" applyFont="1" applyBorder="1" applyAlignment="1">
      <alignment vertical="center" wrapText="1"/>
    </xf>
    <xf numFmtId="0" fontId="6" fillId="0" borderId="2" xfId="68" applyFont="1" applyBorder="1" applyAlignment="1">
      <alignment horizontal="left" vertical="center" wrapText="1"/>
      <protection/>
    </xf>
    <xf numFmtId="0" fontId="6" fillId="2" borderId="2" xfId="39" applyFont="1" applyFill="1" applyBorder="1" applyAlignment="1">
      <alignment horizontal="left" vertical="center" wrapText="1"/>
      <protection/>
    </xf>
    <xf numFmtId="0" fontId="0" fillId="0" borderId="0" xfId="0" applyBorder="1"/>
    <xf numFmtId="0" fontId="0" fillId="0" borderId="3" xfId="0" applyFont="1" applyBorder="1" applyAlignment="1">
      <alignment vertical="center" wrapText="1"/>
    </xf>
    <xf numFmtId="0" fontId="8" fillId="0" borderId="0" xfId="39" applyFont="1" applyBorder="1" applyAlignment="1">
      <alignment vertical="center" wrapText="1"/>
      <protection/>
    </xf>
    <xf numFmtId="0" fontId="6" fillId="2" borderId="0" xfId="39" applyFont="1" applyFill="1" applyBorder="1" applyAlignment="1">
      <alignment horizontal="left" vertical="center" wrapText="1"/>
      <protection/>
    </xf>
    <xf numFmtId="0" fontId="9" fillId="0" borderId="0" xfId="68" applyFont="1" applyFill="1" applyBorder="1" applyAlignment="1">
      <alignment vertical="center" wrapText="1"/>
      <protection/>
    </xf>
    <xf numFmtId="0" fontId="10" fillId="2" borderId="4" xfId="39" applyFont="1" applyFill="1" applyBorder="1" applyAlignment="1">
      <alignment horizontal="left" vertical="center" wrapText="1"/>
      <protection/>
    </xf>
    <xf numFmtId="0" fontId="0" fillId="0" borderId="5" xfId="0" applyFont="1" applyBorder="1" applyAlignment="1">
      <alignment vertical="center" wrapText="1"/>
    </xf>
    <xf numFmtId="0" fontId="9" fillId="0" borderId="6" xfId="68" applyFont="1" applyFill="1" applyBorder="1" applyAlignment="1">
      <alignment vertical="center" wrapText="1"/>
      <protection/>
    </xf>
    <xf numFmtId="0" fontId="11" fillId="2" borderId="6" xfId="39" applyFont="1" applyFill="1" applyBorder="1" applyAlignment="1">
      <alignment horizontal="left" wrapText="1"/>
      <protection/>
    </xf>
    <xf numFmtId="0" fontId="11" fillId="2" borderId="7" xfId="39" applyFont="1" applyFill="1" applyBorder="1" applyAlignment="1">
      <alignment horizontal="left" wrapText="1"/>
      <protection/>
    </xf>
    <xf numFmtId="0" fontId="11" fillId="3" borderId="8" xfId="0" applyFont="1" applyFill="1" applyBorder="1" applyAlignment="1">
      <alignment horizontal="left" vertical="center" wrapText="1"/>
    </xf>
    <xf numFmtId="4" fontId="11" fillId="3" borderId="9" xfId="0" applyNumberFormat="1" applyFont="1" applyFill="1" applyBorder="1" applyAlignment="1">
      <alignment horizontal="right" vertical="center"/>
    </xf>
    <xf numFmtId="164" fontId="11" fillId="3" borderId="9" xfId="0" applyNumberFormat="1" applyFont="1" applyFill="1" applyBorder="1" applyAlignment="1">
      <alignment horizontal="center" vertical="center"/>
    </xf>
    <xf numFmtId="164" fontId="11" fillId="3" borderId="10" xfId="0" applyNumberFormat="1" applyFont="1" applyFill="1" applyBorder="1" applyAlignment="1">
      <alignment horizontal="center" vertical="center"/>
    </xf>
    <xf numFmtId="49" fontId="7"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7" fillId="0" borderId="12" xfId="0" applyFont="1" applyBorder="1" applyAlignment="1">
      <alignment horizontal="center" vertical="center" wrapText="1"/>
    </xf>
    <xf numFmtId="4" fontId="7" fillId="0" borderId="13" xfId="0" applyNumberFormat="1" applyFont="1" applyBorder="1" applyAlignment="1">
      <alignment horizontal="center" vertical="center" wrapText="1"/>
    </xf>
    <xf numFmtId="49" fontId="12" fillId="4" borderId="14" xfId="0" applyNumberFormat="1" applyFont="1" applyFill="1" applyBorder="1" applyAlignment="1">
      <alignment horizontal="center" vertical="center"/>
    </xf>
    <xf numFmtId="0" fontId="12" fillId="4" borderId="15" xfId="0" applyFont="1" applyFill="1" applyBorder="1" applyAlignment="1">
      <alignment vertical="center" wrapText="1"/>
    </xf>
    <xf numFmtId="0" fontId="12" fillId="4" borderId="15" xfId="0" applyFont="1" applyFill="1" applyBorder="1" applyAlignment="1">
      <alignment horizontal="center" vertical="center" wrapText="1"/>
    </xf>
    <xf numFmtId="4" fontId="12" fillId="4"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0" fontId="0" fillId="0" borderId="17" xfId="0" applyFont="1" applyFill="1" applyBorder="1" applyAlignment="1">
      <alignment vertical="center" wrapText="1"/>
    </xf>
    <xf numFmtId="0" fontId="0" fillId="0" borderId="17" xfId="0" applyFont="1" applyFill="1" applyBorder="1" applyAlignment="1">
      <alignment horizontal="center" vertical="center"/>
    </xf>
    <xf numFmtId="4" fontId="0" fillId="0" borderId="18" xfId="0" applyNumberFormat="1" applyFont="1" applyFill="1" applyBorder="1" applyAlignment="1">
      <alignment horizontal="right" vertical="center"/>
    </xf>
    <xf numFmtId="49" fontId="12" fillId="0" borderId="19" xfId="0" applyNumberFormat="1" applyFont="1" applyFill="1" applyBorder="1" applyAlignment="1">
      <alignment horizontal="center" vertical="center"/>
    </xf>
    <xf numFmtId="0" fontId="0" fillId="0" borderId="20" xfId="0" applyFont="1" applyFill="1" applyBorder="1" applyAlignment="1">
      <alignment vertical="center" wrapText="1"/>
    </xf>
    <xf numFmtId="4" fontId="0" fillId="0" borderId="20" xfId="0" applyNumberFormat="1" applyFont="1" applyFill="1" applyBorder="1" applyAlignment="1">
      <alignment horizontal="center" vertical="center"/>
    </xf>
    <xf numFmtId="4" fontId="0" fillId="0" borderId="21" xfId="0" applyNumberFormat="1" applyFont="1" applyFill="1" applyBorder="1" applyAlignment="1">
      <alignment horizontal="right" vertical="center" indent="1"/>
    </xf>
    <xf numFmtId="4" fontId="0" fillId="0" borderId="18" xfId="0" applyNumberFormat="1" applyFont="1" applyFill="1" applyBorder="1" applyAlignment="1">
      <alignment horizontal="right" vertical="center" indent="1"/>
    </xf>
    <xf numFmtId="0" fontId="0" fillId="0" borderId="20" xfId="0" applyFont="1" applyFill="1" applyBorder="1" applyAlignment="1">
      <alignment horizontal="center" vertical="center"/>
    </xf>
    <xf numFmtId="3" fontId="0" fillId="0" borderId="21" xfId="0" applyNumberFormat="1" applyFont="1" applyFill="1" applyBorder="1" applyAlignment="1">
      <alignment horizontal="right" vertical="center" indent="1"/>
    </xf>
    <xf numFmtId="0" fontId="0" fillId="0" borderId="0" xfId="0" applyFill="1"/>
    <xf numFmtId="49" fontId="12" fillId="4" borderId="19" xfId="0" applyNumberFormat="1" applyFont="1" applyFill="1" applyBorder="1" applyAlignment="1">
      <alignment vertical="center"/>
    </xf>
    <xf numFmtId="0" fontId="12" fillId="4" borderId="20" xfId="0" applyFont="1" applyFill="1" applyBorder="1" applyAlignment="1">
      <alignment vertical="center" wrapText="1"/>
    </xf>
    <xf numFmtId="0" fontId="12" fillId="4" borderId="20" xfId="0" applyFont="1" applyFill="1" applyBorder="1" applyAlignment="1">
      <alignment horizontal="center" vertical="center"/>
    </xf>
    <xf numFmtId="3" fontId="13" fillId="4" borderId="21" xfId="0" applyNumberFormat="1" applyFont="1" applyFill="1" applyBorder="1" applyAlignment="1">
      <alignment horizontal="right" vertical="center" indent="1"/>
    </xf>
    <xf numFmtId="49" fontId="0" fillId="0" borderId="19" xfId="0" applyNumberFormat="1" applyBorder="1" applyAlignment="1">
      <alignment vertical="center"/>
    </xf>
    <xf numFmtId="0" fontId="14" fillId="0" borderId="20" xfId="0" applyFont="1" applyBorder="1" applyAlignment="1">
      <alignment vertical="center" wrapText="1"/>
    </xf>
    <xf numFmtId="0" fontId="0" fillId="0" borderId="20" xfId="0" applyBorder="1" applyAlignment="1">
      <alignment horizontal="center" vertical="center"/>
    </xf>
    <xf numFmtId="3" fontId="0" fillId="0" borderId="21" xfId="0" applyNumberFormat="1" applyBorder="1" applyAlignment="1">
      <alignment horizontal="right" vertical="center" indent="1"/>
    </xf>
    <xf numFmtId="0" fontId="0" fillId="0" borderId="20" xfId="48" applyFont="1" applyBorder="1" applyAlignment="1">
      <alignment vertical="center" wrapText="1"/>
      <protection/>
    </xf>
    <xf numFmtId="10" fontId="0" fillId="0" borderId="20" xfId="0" applyNumberFormat="1" applyBorder="1" applyAlignment="1">
      <alignment horizontal="center" vertical="center"/>
    </xf>
    <xf numFmtId="0" fontId="0" fillId="0" borderId="20" xfId="0" applyFont="1" applyBorder="1" applyAlignment="1">
      <alignment vertical="center" wrapText="1"/>
    </xf>
    <xf numFmtId="0" fontId="12" fillId="4" borderId="20" xfId="0" applyFont="1" applyFill="1" applyBorder="1" applyAlignment="1">
      <alignment vertical="center"/>
    </xf>
    <xf numFmtId="3" fontId="12" fillId="4" borderId="21" xfId="0" applyNumberFormat="1" applyFont="1" applyFill="1" applyBorder="1" applyAlignment="1">
      <alignment horizontal="right" vertical="center" indent="1"/>
    </xf>
    <xf numFmtId="0" fontId="0" fillId="0" borderId="20" xfId="0" applyBorder="1" applyAlignment="1">
      <alignment vertical="center"/>
    </xf>
    <xf numFmtId="49" fontId="12" fillId="5" borderId="19" xfId="0" applyNumberFormat="1" applyFont="1" applyFill="1" applyBorder="1" applyAlignment="1">
      <alignment vertical="center"/>
    </xf>
    <xf numFmtId="0" fontId="12" fillId="5" borderId="20" xfId="0" applyFont="1" applyFill="1" applyBorder="1" applyAlignment="1">
      <alignment vertical="center" wrapText="1"/>
    </xf>
    <xf numFmtId="0" fontId="12" fillId="5" borderId="20" xfId="0" applyFont="1" applyFill="1" applyBorder="1" applyAlignment="1">
      <alignment vertical="center"/>
    </xf>
    <xf numFmtId="3" fontId="12" fillId="5" borderId="21" xfId="0" applyNumberFormat="1" applyFont="1" applyFill="1" applyBorder="1" applyAlignment="1">
      <alignment horizontal="right" vertical="center" indent="1"/>
    </xf>
    <xf numFmtId="49" fontId="12" fillId="6" borderId="19" xfId="0" applyNumberFormat="1" applyFont="1" applyFill="1" applyBorder="1" applyAlignment="1">
      <alignment vertical="center"/>
    </xf>
    <xf numFmtId="0" fontId="12" fillId="6" borderId="20" xfId="0" applyFont="1" applyFill="1" applyBorder="1" applyAlignment="1">
      <alignment vertical="center" wrapText="1"/>
    </xf>
    <xf numFmtId="0" fontId="12" fillId="6" borderId="20" xfId="0" applyFont="1" applyFill="1" applyBorder="1" applyAlignment="1">
      <alignment vertical="center"/>
    </xf>
    <xf numFmtId="3" fontId="12" fillId="6" borderId="21" xfId="0" applyNumberFormat="1" applyFont="1" applyFill="1" applyBorder="1" applyAlignment="1">
      <alignment horizontal="right" vertical="center" indent="1"/>
    </xf>
    <xf numFmtId="49" fontId="12" fillId="7" borderId="19" xfId="0" applyNumberFormat="1" applyFont="1" applyFill="1" applyBorder="1" applyAlignment="1">
      <alignment vertical="center"/>
    </xf>
    <xf numFmtId="0" fontId="12" fillId="7" borderId="20" xfId="0" applyFont="1" applyFill="1" applyBorder="1" applyAlignment="1">
      <alignment vertical="center" wrapText="1"/>
    </xf>
    <xf numFmtId="0" fontId="12" fillId="7" borderId="20" xfId="0" applyFont="1" applyFill="1" applyBorder="1" applyAlignment="1">
      <alignment vertical="center"/>
    </xf>
    <xf numFmtId="3" fontId="12" fillId="7" borderId="21" xfId="0" applyNumberFormat="1" applyFont="1" applyFill="1" applyBorder="1" applyAlignment="1">
      <alignment horizontal="right" vertical="center" indent="1"/>
    </xf>
    <xf numFmtId="49" fontId="0" fillId="0" borderId="22" xfId="0" applyNumberFormat="1" applyBorder="1" applyAlignment="1">
      <alignment vertical="center"/>
    </xf>
    <xf numFmtId="0" fontId="0" fillId="0" borderId="23" xfId="0" applyFont="1" applyBorder="1" applyAlignment="1">
      <alignment vertical="center" wrapText="1"/>
    </xf>
    <xf numFmtId="0" fontId="0" fillId="0" borderId="23" xfId="0" applyBorder="1" applyAlignment="1">
      <alignment vertical="center"/>
    </xf>
    <xf numFmtId="4" fontId="0" fillId="0" borderId="24" xfId="0" applyNumberFormat="1" applyBorder="1" applyAlignment="1">
      <alignment horizontal="right" vertical="center"/>
    </xf>
    <xf numFmtId="49" fontId="0" fillId="8" borderId="14" xfId="0" applyNumberFormat="1" applyFill="1" applyBorder="1"/>
    <xf numFmtId="0" fontId="0" fillId="8" borderId="15" xfId="0" applyFont="1" applyFill="1" applyBorder="1" applyAlignment="1">
      <alignment vertical="center" wrapText="1"/>
    </xf>
    <xf numFmtId="0" fontId="16" fillId="8" borderId="15" xfId="0" applyFont="1" applyFill="1" applyBorder="1" applyAlignment="1">
      <alignment horizontal="right" vertical="center" indent="1"/>
    </xf>
    <xf numFmtId="4" fontId="16" fillId="8" borderId="25" xfId="0" applyNumberFormat="1" applyFont="1" applyFill="1" applyBorder="1"/>
    <xf numFmtId="49" fontId="7" fillId="0" borderId="0" xfId="0" applyNumberFormat="1"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4" fontId="7" fillId="0" borderId="0" xfId="0" applyNumberFormat="1" applyFont="1" applyAlignment="1">
      <alignment vertical="center" wrapText="1"/>
    </xf>
    <xf numFmtId="164" fontId="7" fillId="0" borderId="0" xfId="0" applyNumberFormat="1" applyFont="1" applyAlignment="1">
      <alignment vertical="center" wrapText="1"/>
    </xf>
    <xf numFmtId="165" fontId="17" fillId="0" borderId="0" xfId="0" applyNumberFormat="1" applyFont="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0" fillId="0" borderId="0" xfId="0" applyAlignment="1">
      <alignment vertical="center"/>
    </xf>
    <xf numFmtId="49" fontId="7" fillId="0" borderId="1" xfId="0" applyNumberFormat="1" applyFont="1" applyBorder="1" applyAlignment="1">
      <alignment vertical="center" wrapText="1"/>
    </xf>
    <xf numFmtId="0" fontId="0" fillId="0" borderId="2" xfId="0" applyFont="1" applyBorder="1" applyAlignment="1">
      <alignment horizontal="center" vertical="center" wrapText="1"/>
    </xf>
    <xf numFmtId="0" fontId="6" fillId="0" borderId="2" xfId="68" applyFont="1" applyBorder="1" applyAlignment="1">
      <alignment horizontal="center" vertical="center" wrapText="1"/>
      <protection/>
    </xf>
    <xf numFmtId="0" fontId="11" fillId="0" borderId="2" xfId="68" applyFont="1" applyBorder="1" applyAlignment="1">
      <alignment vertical="center" wrapText="1"/>
      <protection/>
    </xf>
    <xf numFmtId="165" fontId="17" fillId="0" borderId="0" xfId="0" applyNumberFormat="1" applyFont="1" applyFill="1" applyBorder="1" applyAlignment="1">
      <alignment vertical="center"/>
    </xf>
    <xf numFmtId="49" fontId="7" fillId="0" borderId="3"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39" applyFont="1" applyBorder="1" applyAlignment="1">
      <alignment horizontal="center" vertical="center" wrapText="1"/>
      <protection/>
    </xf>
    <xf numFmtId="0" fontId="18" fillId="0" borderId="0" xfId="68" applyFont="1" applyBorder="1" applyAlignment="1">
      <alignment vertical="center" wrapText="1"/>
      <protection/>
    </xf>
    <xf numFmtId="0" fontId="18" fillId="0" borderId="0" xfId="68" applyFont="1" applyBorder="1" applyAlignment="1">
      <alignment horizontal="center" vertical="center" wrapText="1"/>
      <protection/>
    </xf>
    <xf numFmtId="49" fontId="7" fillId="0" borderId="5" xfId="0" applyNumberFormat="1" applyFont="1" applyBorder="1" applyAlignment="1">
      <alignment vertical="center" wrapText="1"/>
    </xf>
    <xf numFmtId="0" fontId="0" fillId="0" borderId="6" xfId="0" applyFont="1" applyBorder="1" applyAlignment="1">
      <alignment horizontal="center" vertical="center" wrapText="1"/>
    </xf>
    <xf numFmtId="0" fontId="18" fillId="0" borderId="6" xfId="68" applyFont="1" applyBorder="1" applyAlignment="1">
      <alignment horizontal="center" vertical="center" wrapText="1"/>
      <protection/>
    </xf>
    <xf numFmtId="0" fontId="18" fillId="0" borderId="6" xfId="68" applyFont="1" applyBorder="1" applyAlignment="1">
      <alignment vertical="center" wrapText="1"/>
      <protection/>
    </xf>
    <xf numFmtId="49" fontId="19" fillId="3" borderId="8" xfId="0" applyNumberFormat="1" applyFont="1" applyFill="1" applyBorder="1" applyAlignment="1">
      <alignment horizontal="left" vertical="center" wrapText="1"/>
    </xf>
    <xf numFmtId="0" fontId="19" fillId="3" borderId="9" xfId="0" applyFont="1" applyFill="1" applyBorder="1" applyAlignment="1">
      <alignment horizontal="center" vertical="center" wrapText="1"/>
    </xf>
    <xf numFmtId="0" fontId="11" fillId="3" borderId="9" xfId="0" applyFont="1" applyFill="1" applyBorder="1" applyAlignment="1">
      <alignment horizontal="left" vertical="center" wrapText="1"/>
    </xf>
    <xf numFmtId="0" fontId="7" fillId="3" borderId="9" xfId="0" applyFont="1" applyFill="1" applyBorder="1" applyAlignment="1">
      <alignment horizontal="center" vertical="center" wrapText="1"/>
    </xf>
    <xf numFmtId="4" fontId="11" fillId="3" borderId="9" xfId="0" applyNumberFormat="1" applyFont="1" applyFill="1" applyBorder="1" applyAlignment="1">
      <alignment horizontal="right" vertical="center" wrapText="1"/>
    </xf>
    <xf numFmtId="164" fontId="11" fillId="3" borderId="9" xfId="0" applyNumberFormat="1" applyFont="1" applyFill="1" applyBorder="1" applyAlignment="1">
      <alignment horizontal="center" vertical="center" wrapText="1"/>
    </xf>
    <xf numFmtId="164" fontId="11" fillId="3" borderId="10" xfId="0" applyNumberFormat="1" applyFont="1" applyFill="1" applyBorder="1" applyAlignment="1">
      <alignment horizontal="center" vertical="center" wrapText="1"/>
    </xf>
    <xf numFmtId="0" fontId="7" fillId="0" borderId="26" xfId="0" applyFont="1" applyBorder="1" applyAlignment="1">
      <alignment horizontal="center" vertical="center" wrapText="1"/>
    </xf>
    <xf numFmtId="4" fontId="7" fillId="0" borderId="2"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5" fontId="20" fillId="0" borderId="0" xfId="0" applyNumberFormat="1"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49" fontId="7" fillId="0" borderId="27"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4" fontId="7" fillId="0" borderId="6" xfId="0" applyNumberFormat="1" applyFont="1" applyBorder="1" applyAlignment="1">
      <alignment horizontal="center" vertical="center" wrapText="1"/>
    </xf>
    <xf numFmtId="164" fontId="7" fillId="0" borderId="28"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49" fontId="7" fillId="0" borderId="30" xfId="0" applyNumberFormat="1" applyFont="1" applyBorder="1" applyAlignment="1">
      <alignmen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4" fontId="7" fillId="0" borderId="31" xfId="0" applyNumberFormat="1" applyFont="1" applyBorder="1" applyAlignment="1">
      <alignment vertical="center" wrapText="1"/>
    </xf>
    <xf numFmtId="164" fontId="7" fillId="0" borderId="32" xfId="0" applyNumberFormat="1" applyFont="1" applyBorder="1" applyAlignment="1">
      <alignment vertical="center" wrapText="1"/>
    </xf>
    <xf numFmtId="164" fontId="7" fillId="0" borderId="33" xfId="0" applyNumberFormat="1" applyFont="1" applyBorder="1" applyAlignment="1">
      <alignment vertical="center" wrapText="1"/>
    </xf>
    <xf numFmtId="165" fontId="17" fillId="0" borderId="0" xfId="0" applyNumberFormat="1" applyFont="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0" fillId="0" borderId="0" xfId="0" applyAlignment="1">
      <alignment vertical="center" wrapText="1"/>
    </xf>
    <xf numFmtId="49" fontId="7" fillId="0" borderId="19" xfId="0" applyNumberFormat="1" applyFont="1" applyBorder="1" applyAlignment="1">
      <alignment horizontal="left" vertical="center" wrapText="1"/>
    </xf>
    <xf numFmtId="0" fontId="7" fillId="0" borderId="20" xfId="0" applyFont="1" applyBorder="1" applyAlignment="1">
      <alignment horizontal="center" vertical="center" wrapText="1"/>
    </xf>
    <xf numFmtId="0" fontId="11" fillId="0" borderId="20" xfId="0" applyFont="1" applyBorder="1" applyAlignment="1">
      <alignment horizontal="left" vertical="center" wrapText="1"/>
    </xf>
    <xf numFmtId="4" fontId="7" fillId="0" borderId="34" xfId="0" applyNumberFormat="1" applyFont="1" applyBorder="1" applyAlignment="1">
      <alignment horizontal="left" vertical="center" wrapText="1"/>
    </xf>
    <xf numFmtId="164" fontId="7" fillId="0" borderId="20" xfId="0" applyNumberFormat="1" applyFont="1" applyBorder="1" applyAlignment="1">
      <alignment horizontal="left" vertical="center" wrapText="1"/>
    </xf>
    <xf numFmtId="164" fontId="7" fillId="0" borderId="35" xfId="0" applyNumberFormat="1" applyFont="1" applyBorder="1" applyAlignment="1">
      <alignment horizontal="left" vertical="center" wrapText="1"/>
    </xf>
    <xf numFmtId="165" fontId="17" fillId="0" borderId="0" xfId="0" applyNumberFormat="1" applyFont="1" applyBorder="1" applyAlignment="1">
      <alignment horizontal="left" vertical="center" wrapText="1"/>
    </xf>
    <xf numFmtId="0" fontId="0" fillId="0" borderId="0" xfId="0" applyFont="1" applyAlignment="1">
      <alignment horizontal="left" vertical="center" wrapText="1"/>
    </xf>
    <xf numFmtId="49" fontId="7" fillId="0" borderId="19" xfId="0" applyNumberFormat="1" applyFont="1" applyBorder="1" applyAlignment="1">
      <alignment vertical="center" wrapText="1"/>
    </xf>
    <xf numFmtId="0" fontId="7" fillId="0" borderId="20" xfId="0" applyFont="1" applyBorder="1" applyAlignment="1">
      <alignment horizontal="center" vertical="center" wrapText="1"/>
    </xf>
    <xf numFmtId="0" fontId="7" fillId="0" borderId="20" xfId="0" applyFont="1" applyFill="1" applyBorder="1" applyAlignment="1">
      <alignment vertical="center" wrapText="1"/>
    </xf>
    <xf numFmtId="4" fontId="7" fillId="0" borderId="20" xfId="0" applyNumberFormat="1" applyFont="1" applyBorder="1" applyAlignment="1">
      <alignment vertical="center" wrapText="1"/>
    </xf>
    <xf numFmtId="164" fontId="7" fillId="2" borderId="20" xfId="0" applyNumberFormat="1" applyFont="1" applyFill="1" applyBorder="1" applyAlignment="1">
      <alignment vertical="center" wrapText="1"/>
    </xf>
    <xf numFmtId="164" fontId="7" fillId="0" borderId="21" xfId="0" applyNumberFormat="1" applyFont="1" applyBorder="1" applyAlignment="1">
      <alignment vertical="center" wrapText="1"/>
    </xf>
    <xf numFmtId="49" fontId="7" fillId="0" borderId="36" xfId="0" applyNumberFormat="1" applyFont="1" applyBorder="1" applyAlignment="1">
      <alignment vertical="center" wrapText="1"/>
    </xf>
    <xf numFmtId="0" fontId="7" fillId="0" borderId="37" xfId="0" applyFont="1" applyBorder="1" applyAlignment="1">
      <alignment horizontal="center" vertical="center" wrapText="1"/>
    </xf>
    <xf numFmtId="4" fontId="7" fillId="0" borderId="37" xfId="0" applyNumberFormat="1" applyFont="1" applyBorder="1" applyAlignment="1">
      <alignment vertical="center" wrapText="1"/>
    </xf>
    <xf numFmtId="164" fontId="7" fillId="2" borderId="37" xfId="0" applyNumberFormat="1" applyFont="1" applyFill="1" applyBorder="1" applyAlignment="1">
      <alignment vertical="center" wrapText="1"/>
    </xf>
    <xf numFmtId="164" fontId="7" fillId="0" borderId="38" xfId="0" applyNumberFormat="1" applyFont="1" applyBorder="1" applyAlignment="1">
      <alignment vertical="center" wrapText="1"/>
    </xf>
    <xf numFmtId="49" fontId="7" fillId="0" borderId="16" xfId="0" applyNumberFormat="1" applyFont="1" applyBorder="1" applyAlignment="1">
      <alignment vertical="center" wrapText="1"/>
    </xf>
    <xf numFmtId="0" fontId="7" fillId="0" borderId="17" xfId="0" applyFont="1" applyBorder="1" applyAlignment="1">
      <alignment horizontal="center" vertical="center" wrapText="1"/>
    </xf>
    <xf numFmtId="4" fontId="7" fillId="0" borderId="17" xfId="0" applyNumberFormat="1" applyFont="1" applyBorder="1" applyAlignment="1">
      <alignment vertical="center" wrapText="1"/>
    </xf>
    <xf numFmtId="164" fontId="7" fillId="2" borderId="17" xfId="0" applyNumberFormat="1" applyFont="1" applyFill="1" applyBorder="1" applyAlignment="1">
      <alignment vertical="center" wrapText="1"/>
    </xf>
    <xf numFmtId="164" fontId="7" fillId="0" borderId="18" xfId="0" applyNumberFormat="1" applyFont="1" applyBorder="1" applyAlignment="1">
      <alignment vertical="center" wrapText="1"/>
    </xf>
    <xf numFmtId="0" fontId="7" fillId="0" borderId="20" xfId="0" applyFont="1" applyBorder="1" applyAlignment="1">
      <alignment vertical="center" wrapText="1"/>
    </xf>
    <xf numFmtId="0" fontId="0" fillId="0" borderId="20" xfId="73" applyFont="1" applyFill="1" applyBorder="1" applyAlignment="1">
      <alignment vertical="center" wrapText="1"/>
      <protection/>
    </xf>
    <xf numFmtId="49" fontId="7" fillId="0" borderId="19" xfId="37" applyNumberFormat="1" applyFont="1" applyBorder="1" applyAlignment="1">
      <alignment vertical="center" wrapText="1"/>
      <protection/>
    </xf>
    <xf numFmtId="0" fontId="7" fillId="0" borderId="20" xfId="37" applyFont="1" applyBorder="1" applyAlignment="1">
      <alignment horizontal="center" vertical="center" wrapText="1"/>
      <protection/>
    </xf>
    <xf numFmtId="0" fontId="6" fillId="0" borderId="20" xfId="37" applyFont="1" applyBorder="1" applyAlignment="1">
      <alignment vertical="center" wrapText="1"/>
      <protection/>
    </xf>
    <xf numFmtId="4" fontId="7" fillId="0" borderId="34" xfId="37" applyNumberFormat="1" applyFont="1" applyBorder="1" applyAlignment="1">
      <alignment vertical="center" wrapText="1"/>
      <protection/>
    </xf>
    <xf numFmtId="164" fontId="7" fillId="0" borderId="20" xfId="37" applyNumberFormat="1" applyFont="1" applyBorder="1" applyAlignment="1">
      <alignment vertical="center" wrapText="1"/>
      <protection/>
    </xf>
    <xf numFmtId="164" fontId="7" fillId="0" borderId="35" xfId="37" applyNumberFormat="1" applyFont="1" applyBorder="1" applyAlignment="1">
      <alignment vertical="center" wrapText="1"/>
      <protection/>
    </xf>
    <xf numFmtId="0" fontId="11" fillId="0" borderId="20" xfId="37" applyFont="1" applyBorder="1" applyAlignment="1">
      <alignment vertical="center" wrapText="1"/>
      <protection/>
    </xf>
    <xf numFmtId="4" fontId="7" fillId="0" borderId="35" xfId="37" applyNumberFormat="1" applyFont="1" applyBorder="1" applyAlignment="1">
      <alignment horizontal="right" vertical="center" wrapText="1"/>
      <protection/>
    </xf>
    <xf numFmtId="49" fontId="11" fillId="0" borderId="19" xfId="37" applyNumberFormat="1" applyFont="1" applyFill="1" applyBorder="1" applyAlignment="1">
      <alignment horizontal="center" vertical="center" wrapText="1"/>
      <protection/>
    </xf>
    <xf numFmtId="0" fontId="7" fillId="0" borderId="20" xfId="37" applyNumberFormat="1" applyFont="1" applyFill="1" applyBorder="1" applyAlignment="1">
      <alignment horizontal="center" vertical="center" wrapText="1"/>
      <protection/>
    </xf>
    <xf numFmtId="0"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horizontal="center" vertical="center" wrapText="1"/>
      <protection/>
    </xf>
    <xf numFmtId="4"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horizontal="right" vertical="center" wrapText="1"/>
      <protection/>
    </xf>
    <xf numFmtId="4" fontId="7" fillId="0" borderId="21" xfId="37" applyNumberFormat="1" applyFont="1" applyBorder="1" applyAlignment="1">
      <alignment horizontal="right" vertical="center" indent="1"/>
      <protection/>
    </xf>
    <xf numFmtId="0" fontId="7" fillId="0" borderId="20" xfId="37" applyFont="1" applyFill="1" applyBorder="1" applyAlignment="1">
      <alignment vertical="center" wrapText="1"/>
      <protection/>
    </xf>
    <xf numFmtId="4" fontId="7" fillId="0" borderId="20" xfId="37" applyNumberFormat="1" applyFont="1" applyBorder="1" applyAlignment="1">
      <alignment vertical="center" wrapText="1"/>
      <protection/>
    </xf>
    <xf numFmtId="4" fontId="7" fillId="0" borderId="21" xfId="37" applyNumberFormat="1" applyFont="1" applyBorder="1" applyAlignment="1">
      <alignment horizontal="right" vertical="center" wrapText="1"/>
      <protection/>
    </xf>
    <xf numFmtId="49" fontId="0" fillId="7" borderId="8" xfId="67" applyNumberFormat="1" applyFont="1" applyFill="1" applyBorder="1" applyAlignment="1">
      <alignment horizontal="center" vertical="center"/>
      <protection/>
    </xf>
    <xf numFmtId="49" fontId="0" fillId="7" borderId="9" xfId="67" applyNumberFormat="1" applyFont="1" applyFill="1" applyBorder="1" applyAlignment="1">
      <alignment horizontal="center" vertical="center"/>
      <protection/>
    </xf>
    <xf numFmtId="0" fontId="22" fillId="7" borderId="9" xfId="67" applyFont="1" applyFill="1" applyBorder="1" applyAlignment="1">
      <alignment vertical="center" wrapText="1"/>
      <protection/>
    </xf>
    <xf numFmtId="0" fontId="23" fillId="7" borderId="9" xfId="67" applyFont="1" applyFill="1" applyBorder="1" applyAlignment="1">
      <alignment horizontal="center" vertical="center"/>
      <protection/>
    </xf>
    <xf numFmtId="4" fontId="23" fillId="7" borderId="9" xfId="67" applyNumberFormat="1" applyFont="1" applyFill="1" applyBorder="1" applyAlignment="1">
      <alignment vertical="center"/>
      <protection/>
    </xf>
    <xf numFmtId="0" fontId="23" fillId="7" borderId="9" xfId="67" applyFont="1" applyFill="1" applyBorder="1" applyAlignment="1">
      <alignment vertical="center"/>
      <protection/>
    </xf>
    <xf numFmtId="4" fontId="22" fillId="7" borderId="10" xfId="67" applyNumberFormat="1" applyFont="1" applyFill="1" applyBorder="1" applyAlignment="1">
      <alignment horizontal="right" vertical="center" indent="1"/>
      <protection/>
    </xf>
    <xf numFmtId="49" fontId="24" fillId="9" borderId="39" xfId="0" applyNumberFormat="1" applyFont="1" applyFill="1" applyBorder="1" applyAlignment="1">
      <alignment horizontal="center" vertical="center" wrapText="1" shrinkToFit="1"/>
    </xf>
    <xf numFmtId="49" fontId="24" fillId="9" borderId="0" xfId="0" applyNumberFormat="1" applyFont="1" applyFill="1" applyBorder="1" applyAlignment="1">
      <alignment horizontal="center" vertical="center" wrapText="1" shrinkToFit="1"/>
    </xf>
    <xf numFmtId="49" fontId="7" fillId="10" borderId="8" xfId="68" applyNumberFormat="1" applyFont="1" applyFill="1" applyBorder="1" applyAlignment="1">
      <alignment horizontal="center" vertical="center" wrapText="1"/>
      <protection/>
    </xf>
    <xf numFmtId="49" fontId="7" fillId="10" borderId="9" xfId="68" applyNumberFormat="1" applyFont="1" applyFill="1" applyBorder="1" applyAlignment="1">
      <alignment horizontal="center" vertical="center" wrapText="1"/>
      <protection/>
    </xf>
    <xf numFmtId="49" fontId="7" fillId="10" borderId="10" xfId="68" applyNumberFormat="1" applyFont="1" applyFill="1" applyBorder="1" applyAlignment="1">
      <alignment horizontal="right" vertical="center" wrapText="1"/>
      <protection/>
    </xf>
    <xf numFmtId="49" fontId="11" fillId="11" borderId="40" xfId="37" applyNumberFormat="1" applyFont="1" applyFill="1" applyBorder="1" applyAlignment="1">
      <alignment horizontal="center" vertical="center" wrapText="1"/>
      <protection/>
    </xf>
    <xf numFmtId="0" fontId="7" fillId="11" borderId="41" xfId="37" applyFont="1" applyFill="1" applyBorder="1" applyAlignment="1">
      <alignment horizontal="center" vertical="center" wrapText="1"/>
      <protection/>
    </xf>
    <xf numFmtId="0" fontId="25" fillId="11" borderId="41" xfId="75" applyFont="1" applyFill="1" applyBorder="1" applyAlignment="1" applyProtection="1">
      <alignment vertical="center" wrapText="1"/>
      <protection/>
    </xf>
    <xf numFmtId="0" fontId="11" fillId="11" borderId="42" xfId="75" applyFont="1" applyFill="1" applyBorder="1" applyAlignment="1" applyProtection="1">
      <alignment horizontal="center" vertical="center" wrapText="1"/>
      <protection/>
    </xf>
    <xf numFmtId="166" fontId="11" fillId="11" borderId="42" xfId="75" applyNumberFormat="1" applyFont="1" applyFill="1" applyBorder="1" applyAlignment="1" applyProtection="1">
      <alignment vertical="center" wrapText="1"/>
      <protection/>
    </xf>
    <xf numFmtId="164" fontId="7" fillId="11" borderId="42" xfId="37" applyNumberFormat="1" applyFont="1" applyFill="1" applyBorder="1" applyAlignment="1">
      <alignment vertical="center" wrapText="1"/>
      <protection/>
    </xf>
    <xf numFmtId="164" fontId="7" fillId="11" borderId="4" xfId="37" applyNumberFormat="1" applyFont="1" applyFill="1" applyBorder="1" applyAlignment="1">
      <alignment horizontal="right" vertical="center" wrapText="1"/>
      <protection/>
    </xf>
    <xf numFmtId="49" fontId="7" fillId="0" borderId="30" xfId="37" applyNumberFormat="1" applyFont="1" applyBorder="1" applyAlignment="1">
      <alignment horizontal="center" vertical="center" wrapText="1"/>
      <protection/>
    </xf>
    <xf numFmtId="0" fontId="7" fillId="0" borderId="12" xfId="37" applyFont="1" applyFill="1" applyBorder="1" applyAlignment="1">
      <alignment horizontal="center" vertical="center" wrapText="1"/>
      <protection/>
    </xf>
    <xf numFmtId="0" fontId="7" fillId="0" borderId="12" xfId="37" applyFont="1" applyFill="1" applyBorder="1" applyAlignment="1">
      <alignment vertical="center" wrapText="1"/>
      <protection/>
    </xf>
    <xf numFmtId="0" fontId="7" fillId="0" borderId="12" xfId="37" applyFont="1" applyBorder="1" applyAlignment="1">
      <alignment horizontal="center" vertical="center" wrapText="1"/>
      <protection/>
    </xf>
    <xf numFmtId="4" fontId="7" fillId="0" borderId="12" xfId="37" applyNumberFormat="1" applyFont="1" applyBorder="1" applyAlignment="1">
      <alignment horizontal="right" vertical="center" wrapText="1"/>
      <protection/>
    </xf>
    <xf numFmtId="4" fontId="7" fillId="0" borderId="12" xfId="37" applyNumberFormat="1" applyFont="1" applyFill="1" applyBorder="1" applyAlignment="1">
      <alignment horizontal="right" vertical="center" wrapText="1"/>
      <protection/>
    </xf>
    <xf numFmtId="4" fontId="7" fillId="0" borderId="43" xfId="37" applyNumberFormat="1" applyFont="1" applyBorder="1" applyAlignment="1">
      <alignment horizontal="right" vertical="center" wrapText="1"/>
      <protection/>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 fontId="7" fillId="0" borderId="21" xfId="37" applyNumberFormat="1" applyFont="1" applyFill="1" applyBorder="1" applyAlignment="1">
      <alignment horizontal="right" vertical="center" indent="1"/>
      <protection/>
    </xf>
    <xf numFmtId="165" fontId="26"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0" fillId="0" borderId="0" xfId="0" applyFill="1" applyAlignment="1">
      <alignment vertical="center"/>
    </xf>
    <xf numFmtId="0" fontId="27" fillId="0" borderId="20" xfId="37" applyFont="1" applyFill="1" applyBorder="1" applyAlignment="1">
      <alignment horizontal="center" vertical="center" wrapText="1"/>
      <protection/>
    </xf>
    <xf numFmtId="0" fontId="27" fillId="0" borderId="20" xfId="0" applyFont="1" applyFill="1" applyBorder="1" applyAlignment="1">
      <alignment vertical="center" wrapText="1"/>
    </xf>
    <xf numFmtId="2" fontId="27" fillId="0" borderId="20" xfId="0" applyNumberFormat="1" applyFont="1" applyFill="1" applyBorder="1" applyAlignment="1">
      <alignment horizontal="center" vertical="center" wrapText="1"/>
    </xf>
    <xf numFmtId="4" fontId="27" fillId="0" borderId="20" xfId="0" applyNumberFormat="1" applyFont="1" applyFill="1" applyBorder="1" applyAlignment="1">
      <alignment horizontal="right" vertical="center" wrapText="1"/>
    </xf>
    <xf numFmtId="4" fontId="27" fillId="0" borderId="21" xfId="37" applyNumberFormat="1" applyFont="1" applyFill="1" applyBorder="1" applyAlignment="1">
      <alignment horizontal="right" vertical="center" wrapText="1"/>
      <protection/>
    </xf>
    <xf numFmtId="165" fontId="28" fillId="0" borderId="0" xfId="0" applyNumberFormat="1" applyFont="1" applyFill="1" applyBorder="1" applyAlignment="1">
      <alignment vertical="center"/>
    </xf>
    <xf numFmtId="165" fontId="29" fillId="0" borderId="0" xfId="0" applyNumberFormat="1"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20" xfId="0" applyFont="1" applyFill="1" applyBorder="1" applyAlignment="1">
      <alignment vertical="center" wrapText="1"/>
    </xf>
    <xf numFmtId="165" fontId="32" fillId="0" borderId="0" xfId="0" applyNumberFormat="1" applyFont="1" applyFill="1" applyBorder="1" applyAlignment="1">
      <alignment vertical="center"/>
    </xf>
    <xf numFmtId="165" fontId="33" fillId="0" borderId="0" xfId="0" applyNumberFormat="1" applyFont="1" applyFill="1" applyBorder="1" applyAlignment="1">
      <alignment vertical="center"/>
    </xf>
    <xf numFmtId="49" fontId="7" fillId="0" borderId="36" xfId="37" applyNumberFormat="1" applyFont="1" applyBorder="1" applyAlignment="1">
      <alignment horizontal="center" vertical="center" wrapText="1"/>
      <protection/>
    </xf>
    <xf numFmtId="0" fontId="7" fillId="0" borderId="37" xfId="37" applyFont="1" applyFill="1" applyBorder="1" applyAlignment="1">
      <alignment horizontal="center" vertical="center" wrapText="1"/>
      <protection/>
    </xf>
    <xf numFmtId="0" fontId="7" fillId="0" borderId="20" xfId="39" applyFont="1" applyFill="1" applyBorder="1" applyAlignment="1">
      <alignment vertical="center" wrapText="1"/>
      <protection/>
    </xf>
    <xf numFmtId="49" fontId="34" fillId="0" borderId="20" xfId="66" applyNumberFormat="1" applyFont="1" applyFill="1" applyBorder="1" applyAlignment="1">
      <alignment horizontal="center" vertical="center"/>
      <protection/>
    </xf>
    <xf numFmtId="4" fontId="7" fillId="0" borderId="37" xfId="37" applyNumberFormat="1" applyFont="1" applyBorder="1" applyAlignment="1">
      <alignment horizontal="right" vertical="center" wrapText="1"/>
      <protection/>
    </xf>
    <xf numFmtId="4" fontId="7" fillId="0" borderId="37" xfId="37" applyNumberFormat="1" applyFont="1" applyFill="1" applyBorder="1" applyAlignment="1">
      <alignment horizontal="right" vertical="center" wrapText="1"/>
      <protection/>
    </xf>
    <xf numFmtId="4" fontId="7" fillId="0" borderId="38" xfId="37" applyNumberFormat="1" applyFont="1" applyBorder="1" applyAlignment="1">
      <alignment horizontal="right" vertical="center" wrapText="1"/>
      <protection/>
    </xf>
    <xf numFmtId="49" fontId="7" fillId="0" borderId="8" xfId="37" applyNumberFormat="1" applyFont="1" applyBorder="1" applyAlignment="1">
      <alignment horizontal="center" vertical="center" wrapText="1"/>
      <protection/>
    </xf>
    <xf numFmtId="0" fontId="7" fillId="0" borderId="9" xfId="37" applyFont="1" applyBorder="1" applyAlignment="1">
      <alignment horizontal="center" vertical="center" wrapText="1"/>
      <protection/>
    </xf>
    <xf numFmtId="0" fontId="35" fillId="0" borderId="9" xfId="37" applyFont="1" applyBorder="1" applyAlignment="1">
      <alignment vertical="center"/>
      <protection/>
    </xf>
    <xf numFmtId="4" fontId="7" fillId="0" borderId="9" xfId="37" applyNumberFormat="1" applyFont="1" applyFill="1" applyBorder="1" applyAlignment="1">
      <alignment horizontal="right" vertical="center" wrapText="1"/>
      <protection/>
    </xf>
    <xf numFmtId="164" fontId="7" fillId="0" borderId="9" xfId="37" applyNumberFormat="1" applyFont="1" applyBorder="1" applyAlignment="1">
      <alignment horizontal="right" vertical="center" wrapText="1"/>
      <protection/>
    </xf>
    <xf numFmtId="4" fontId="35" fillId="0" borderId="10" xfId="37" applyNumberFormat="1" applyFont="1" applyBorder="1" applyAlignment="1">
      <alignment horizontal="right" vertical="center" wrapText="1" indent="1"/>
      <protection/>
    </xf>
    <xf numFmtId="0" fontId="7" fillId="0" borderId="32" xfId="37" applyFont="1" applyFill="1" applyBorder="1" applyAlignment="1">
      <alignment horizontal="center" vertical="center" wrapText="1"/>
      <protection/>
    </xf>
    <xf numFmtId="0" fontId="7" fillId="0" borderId="32" xfId="37" applyFont="1" applyFill="1" applyBorder="1" applyAlignment="1">
      <alignment vertical="center" wrapText="1"/>
      <protection/>
    </xf>
    <xf numFmtId="0" fontId="7" fillId="0" borderId="32" xfId="37" applyFont="1" applyBorder="1" applyAlignment="1">
      <alignment horizontal="center" vertical="center" wrapText="1"/>
      <protection/>
    </xf>
    <xf numFmtId="4" fontId="7" fillId="0" borderId="32" xfId="37" applyNumberFormat="1" applyFont="1" applyBorder="1" applyAlignment="1">
      <alignment horizontal="right" vertical="center" wrapText="1"/>
      <protection/>
    </xf>
    <xf numFmtId="4" fontId="7" fillId="0" borderId="32" xfId="37" applyNumberFormat="1" applyFont="1" applyFill="1" applyBorder="1" applyAlignment="1">
      <alignment horizontal="right" vertical="center" wrapText="1"/>
      <protection/>
    </xf>
    <xf numFmtId="4" fontId="7" fillId="0" borderId="44" xfId="37" applyNumberFormat="1" applyFont="1" applyBorder="1" applyAlignment="1">
      <alignment horizontal="right" vertical="center" wrapText="1"/>
      <protection/>
    </xf>
    <xf numFmtId="0" fontId="7" fillId="0" borderId="20" xfId="37" applyFont="1" applyFill="1" applyBorder="1" applyAlignment="1">
      <alignment horizontal="center" vertical="center" wrapText="1"/>
      <protection/>
    </xf>
    <xf numFmtId="0" fontId="7" fillId="0" borderId="20" xfId="68" applyFont="1" applyFill="1" applyBorder="1" applyAlignment="1" applyProtection="1">
      <alignment horizontal="left" vertical="center" wrapText="1"/>
      <protection/>
    </xf>
    <xf numFmtId="4" fontId="7" fillId="0" borderId="20" xfId="37" applyNumberFormat="1" applyFont="1" applyFill="1" applyBorder="1" applyAlignment="1">
      <alignment horizontal="right" vertical="center" wrapText="1" indent="1"/>
      <protection/>
    </xf>
    <xf numFmtId="4" fontId="7" fillId="0" borderId="21" xfId="37" applyNumberFormat="1" applyFont="1" applyFill="1" applyBorder="1" applyAlignment="1">
      <alignment horizontal="right" vertical="center" wrapText="1" indent="1"/>
      <protection/>
    </xf>
    <xf numFmtId="165" fontId="17" fillId="0" borderId="0" xfId="38" applyNumberFormat="1" applyFont="1" applyFill="1" applyAlignment="1">
      <alignment vertical="center"/>
      <protection/>
    </xf>
    <xf numFmtId="165" fontId="26" fillId="0" borderId="0" xfId="38" applyNumberFormat="1" applyFont="1" applyFill="1" applyBorder="1" applyAlignment="1">
      <alignment vertical="center"/>
      <protection/>
    </xf>
    <xf numFmtId="165" fontId="17" fillId="0" borderId="0" xfId="38" applyNumberFormat="1" applyFont="1" applyFill="1" applyBorder="1" applyAlignment="1">
      <alignment vertical="center"/>
      <protection/>
    </xf>
    <xf numFmtId="0" fontId="0" fillId="0" borderId="0" xfId="38" applyFill="1" applyAlignment="1">
      <alignment vertical="center"/>
      <protection/>
    </xf>
    <xf numFmtId="0" fontId="27" fillId="0" borderId="20" xfId="38" applyFont="1" applyFill="1" applyBorder="1" applyAlignment="1">
      <alignment vertical="center" wrapText="1"/>
      <protection/>
    </xf>
    <xf numFmtId="2" fontId="27" fillId="0" borderId="20" xfId="38" applyNumberFormat="1" applyFont="1" applyFill="1" applyBorder="1" applyAlignment="1">
      <alignment horizontal="center" vertical="center" wrapText="1"/>
      <protection/>
    </xf>
    <xf numFmtId="4" fontId="27" fillId="0" borderId="20" xfId="38" applyNumberFormat="1" applyFont="1" applyFill="1" applyBorder="1" applyAlignment="1">
      <alignment horizontal="right" vertical="center" wrapText="1" indent="1"/>
      <protection/>
    </xf>
    <xf numFmtId="4" fontId="27" fillId="0" borderId="21" xfId="37" applyNumberFormat="1" applyFont="1" applyFill="1" applyBorder="1" applyAlignment="1">
      <alignment horizontal="right" vertical="center" wrapText="1" indent="1"/>
      <protection/>
    </xf>
    <xf numFmtId="165" fontId="36" fillId="0" borderId="0" xfId="38" applyNumberFormat="1" applyFont="1" applyFill="1" applyBorder="1" applyAlignment="1">
      <alignment vertical="center"/>
      <protection/>
    </xf>
    <xf numFmtId="165" fontId="30" fillId="0" borderId="0" xfId="38" applyNumberFormat="1" applyFont="1" applyFill="1" applyAlignment="1">
      <alignment vertical="center"/>
      <protection/>
    </xf>
    <xf numFmtId="0" fontId="30" fillId="0" borderId="0" xfId="38" applyFont="1" applyFill="1" applyAlignment="1">
      <alignment vertical="center"/>
      <protection/>
    </xf>
    <xf numFmtId="49" fontId="31" fillId="0" borderId="16" xfId="37" applyNumberFormat="1" applyFont="1" applyBorder="1" applyAlignment="1">
      <alignment horizontal="center" vertical="center" wrapText="1"/>
      <protection/>
    </xf>
    <xf numFmtId="0" fontId="31" fillId="0" borderId="17" xfId="37" applyFont="1" applyFill="1" applyBorder="1" applyAlignment="1">
      <alignment horizontal="center" vertical="center" wrapText="1"/>
      <protection/>
    </xf>
    <xf numFmtId="0" fontId="31" fillId="0" borderId="17" xfId="37" applyFont="1" applyFill="1" applyBorder="1" applyAlignment="1">
      <alignment vertical="center" wrapText="1"/>
      <protection/>
    </xf>
    <xf numFmtId="0" fontId="31" fillId="0" borderId="17" xfId="37" applyFont="1" applyBorder="1" applyAlignment="1">
      <alignment horizontal="center" vertical="center" wrapText="1"/>
      <protection/>
    </xf>
    <xf numFmtId="4" fontId="31" fillId="0" borderId="17" xfId="37" applyNumberFormat="1" applyFont="1" applyFill="1" applyBorder="1" applyAlignment="1">
      <alignment horizontal="right" vertical="center" wrapText="1"/>
      <protection/>
    </xf>
    <xf numFmtId="4" fontId="31" fillId="0" borderId="18" xfId="37" applyNumberFormat="1" applyFont="1" applyBorder="1" applyAlignment="1">
      <alignment horizontal="right" vertical="center" wrapText="1"/>
      <protection/>
    </xf>
    <xf numFmtId="165" fontId="37" fillId="0" borderId="0" xfId="0" applyNumberFormat="1" applyFont="1" applyBorder="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25" fillId="0" borderId="0" xfId="0" applyFont="1" applyAlignment="1">
      <alignment vertical="center"/>
    </xf>
    <xf numFmtId="49" fontId="31" fillId="0" borderId="16" xfId="37" applyNumberFormat="1" applyFont="1" applyFill="1" applyBorder="1" applyAlignment="1">
      <alignment horizontal="center" vertical="center" wrapText="1"/>
      <protection/>
    </xf>
    <xf numFmtId="0" fontId="31" fillId="0" borderId="20" xfId="37" applyFont="1" applyFill="1" applyBorder="1" applyAlignment="1">
      <alignment horizontal="center" vertical="center" wrapText="1"/>
      <protection/>
    </xf>
    <xf numFmtId="165" fontId="37" fillId="0" borderId="0" xfId="0" applyNumberFormat="1" applyFont="1" applyFill="1" applyBorder="1" applyAlignment="1">
      <alignmen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0" xfId="0" applyFont="1" applyFill="1" applyAlignment="1">
      <alignment vertical="center"/>
    </xf>
    <xf numFmtId="49" fontId="7" fillId="0" borderId="16" xfId="37" applyNumberFormat="1" applyFont="1" applyFill="1" applyBorder="1" applyAlignment="1">
      <alignment horizontal="center" vertical="center" wrapText="1"/>
      <protection/>
    </xf>
    <xf numFmtId="0" fontId="7" fillId="0" borderId="17" xfId="37" applyFont="1" applyFill="1" applyBorder="1" applyAlignment="1">
      <alignment horizontal="center" vertical="center" wrapText="1"/>
      <protection/>
    </xf>
    <xf numFmtId="0" fontId="7" fillId="0" borderId="17" xfId="37" applyFont="1" applyFill="1" applyBorder="1" applyAlignment="1">
      <alignment vertical="center" wrapText="1"/>
      <protection/>
    </xf>
    <xf numFmtId="0" fontId="0" fillId="0" borderId="0" xfId="0" applyFont="1" applyFill="1" applyAlignment="1">
      <alignment vertical="center"/>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vertical="center" wrapText="1"/>
      <protection/>
    </xf>
    <xf numFmtId="4" fontId="7" fillId="0" borderId="18" xfId="37" applyNumberFormat="1" applyFont="1" applyFill="1" applyBorder="1" applyAlignment="1">
      <alignment horizontal="right" vertical="center" wrapText="1"/>
      <protection/>
    </xf>
    <xf numFmtId="0" fontId="31" fillId="0" borderId="20" xfId="37" applyFont="1" applyFill="1" applyBorder="1" applyAlignment="1">
      <alignment horizontal="center" vertical="center" wrapText="1"/>
      <protection/>
    </xf>
    <xf numFmtId="0" fontId="31" fillId="0" borderId="20" xfId="38" applyFont="1" applyFill="1" applyBorder="1" applyAlignment="1">
      <alignment vertical="center" wrapText="1"/>
      <protection/>
    </xf>
    <xf numFmtId="0" fontId="25" fillId="0" borderId="0" xfId="38" applyFont="1" applyFill="1" applyAlignment="1">
      <alignment vertical="center"/>
      <protection/>
    </xf>
    <xf numFmtId="4" fontId="7" fillId="0" borderId="37" xfId="0" applyNumberFormat="1" applyFont="1" applyFill="1" applyBorder="1" applyAlignment="1">
      <alignment horizontal="right" vertical="center" indent="1"/>
    </xf>
    <xf numFmtId="4" fontId="7" fillId="0" borderId="38" xfId="37" applyNumberFormat="1" applyFont="1" applyFill="1" applyBorder="1" applyAlignment="1">
      <alignment horizontal="right" vertical="center" indent="1"/>
      <protection/>
    </xf>
    <xf numFmtId="49" fontId="31" fillId="0" borderId="19" xfId="37" applyNumberFormat="1" applyFont="1" applyFill="1" applyBorder="1" applyAlignment="1">
      <alignment horizontal="center" vertical="center" wrapText="1"/>
      <protection/>
    </xf>
    <xf numFmtId="0" fontId="31" fillId="0" borderId="20" xfId="0" applyFont="1" applyFill="1" applyBorder="1" applyAlignment="1">
      <alignment vertical="center" wrapText="1"/>
    </xf>
    <xf numFmtId="0" fontId="31" fillId="0" borderId="20" xfId="0" applyFont="1" applyFill="1" applyBorder="1" applyAlignment="1">
      <alignment horizontal="center" vertical="center" wrapText="1"/>
    </xf>
    <xf numFmtId="4" fontId="31" fillId="0" borderId="37" xfId="0" applyNumberFormat="1" applyFont="1" applyFill="1" applyBorder="1" applyAlignment="1">
      <alignment horizontal="right" vertical="center" indent="1"/>
    </xf>
    <xf numFmtId="4" fontId="31" fillId="0" borderId="38" xfId="37" applyNumberFormat="1" applyFont="1" applyFill="1" applyBorder="1" applyAlignment="1">
      <alignment horizontal="right" vertical="center" indent="1"/>
      <protection/>
    </xf>
    <xf numFmtId="165" fontId="38" fillId="0" borderId="0" xfId="0" applyNumberFormat="1" applyFont="1" applyFill="1" applyBorder="1" applyAlignment="1">
      <alignment vertical="center"/>
    </xf>
    <xf numFmtId="49" fontId="7" fillId="0" borderId="36" xfId="37" applyNumberFormat="1" applyFont="1" applyFill="1" applyBorder="1" applyAlignment="1">
      <alignment horizontal="center" vertical="center" wrapText="1"/>
      <protection/>
    </xf>
    <xf numFmtId="4" fontId="7" fillId="0" borderId="38" xfId="37" applyNumberFormat="1" applyFont="1" applyFill="1" applyBorder="1" applyAlignment="1">
      <alignment horizontal="right" vertical="center" wrapText="1"/>
      <protection/>
    </xf>
    <xf numFmtId="49" fontId="31" fillId="0" borderId="36" xfId="37" applyNumberFormat="1" applyFont="1" applyFill="1" applyBorder="1" applyAlignment="1">
      <alignment horizontal="center" vertical="center" wrapText="1"/>
      <protection/>
    </xf>
    <xf numFmtId="0" fontId="31" fillId="0" borderId="37" xfId="37" applyFont="1" applyFill="1" applyBorder="1" applyAlignment="1">
      <alignment horizontal="center" vertical="center" wrapText="1"/>
      <protection/>
    </xf>
    <xf numFmtId="0" fontId="11" fillId="0" borderId="37" xfId="37" applyFont="1" applyFill="1" applyBorder="1" applyAlignment="1">
      <alignment horizontal="center" vertical="center" wrapText="1"/>
      <protection/>
    </xf>
    <xf numFmtId="165" fontId="33" fillId="0" borderId="0" xfId="0" applyNumberFormat="1" applyFont="1" applyBorder="1" applyAlignment="1">
      <alignment vertical="center"/>
    </xf>
    <xf numFmtId="166" fontId="11" fillId="11" borderId="42" xfId="75" applyNumberFormat="1" applyFont="1" applyFill="1" applyBorder="1" applyAlignment="1" applyProtection="1">
      <alignment horizontal="right" vertical="center" wrapText="1"/>
      <protection/>
    </xf>
    <xf numFmtId="164" fontId="7" fillId="11" borderId="42" xfId="37" applyNumberFormat="1" applyFont="1" applyFill="1" applyBorder="1" applyAlignment="1">
      <alignment horizontal="right" vertical="center" wrapText="1"/>
      <protection/>
    </xf>
    <xf numFmtId="0" fontId="7" fillId="0" borderId="20" xfId="38" applyFont="1" applyFill="1" applyBorder="1" applyAlignment="1">
      <alignment vertical="center" wrapText="1"/>
      <protection/>
    </xf>
    <xf numFmtId="0" fontId="7" fillId="0" borderId="20" xfId="38" applyFont="1" applyFill="1" applyBorder="1" applyAlignment="1">
      <alignment horizontal="center" vertical="center" wrapText="1"/>
      <protection/>
    </xf>
    <xf numFmtId="4" fontId="7" fillId="0" borderId="20" xfId="38" applyNumberFormat="1" applyFont="1" applyFill="1" applyBorder="1" applyAlignment="1">
      <alignment horizontal="right" vertical="center" wrapText="1" indent="1"/>
      <protection/>
    </xf>
    <xf numFmtId="4" fontId="7" fillId="0" borderId="37" xfId="38" applyNumberFormat="1" applyFont="1" applyFill="1" applyBorder="1" applyAlignment="1">
      <alignment horizontal="right" vertical="center" wrapText="1" indent="1"/>
      <protection/>
    </xf>
    <xf numFmtId="49" fontId="7" fillId="0" borderId="19" xfId="37" applyNumberFormat="1" applyFont="1" applyBorder="1" applyAlignment="1">
      <alignment horizontal="center" vertical="center" wrapText="1"/>
      <protection/>
    </xf>
    <xf numFmtId="0" fontId="7" fillId="0" borderId="20" xfId="37" applyFont="1" applyBorder="1" applyAlignment="1">
      <alignment vertical="center" wrapText="1"/>
      <protection/>
    </xf>
    <xf numFmtId="4" fontId="7" fillId="0" borderId="23" xfId="37" applyNumberFormat="1" applyFont="1" applyBorder="1" applyAlignment="1">
      <alignment horizontal="right" vertical="center" wrapText="1"/>
      <protection/>
    </xf>
    <xf numFmtId="4" fontId="7" fillId="0" borderId="23" xfId="37" applyNumberFormat="1" applyFont="1" applyFill="1" applyBorder="1" applyAlignment="1">
      <alignment horizontal="right" vertical="center" wrapText="1"/>
      <protection/>
    </xf>
    <xf numFmtId="4" fontId="7" fillId="0" borderId="24" xfId="37" applyNumberFormat="1" applyFont="1" applyBorder="1" applyAlignment="1">
      <alignment horizontal="right" vertical="center" wrapText="1"/>
      <protection/>
    </xf>
    <xf numFmtId="4" fontId="7" fillId="0" borderId="9" xfId="37" applyNumberFormat="1" applyFont="1" applyFill="1" applyBorder="1" applyAlignment="1">
      <alignment vertical="center" wrapText="1"/>
      <protection/>
    </xf>
    <xf numFmtId="164" fontId="7" fillId="0" borderId="9" xfId="37" applyNumberFormat="1" applyFont="1" applyBorder="1" applyAlignment="1">
      <alignment vertical="center" wrapText="1"/>
      <protection/>
    </xf>
    <xf numFmtId="0" fontId="7" fillId="0" borderId="17" xfId="37" applyFont="1" applyFill="1" applyBorder="1" applyAlignment="1">
      <alignment horizontal="center" vertical="center" wrapText="1"/>
      <protection/>
    </xf>
    <xf numFmtId="0" fontId="7" fillId="0" borderId="17" xfId="37" applyFont="1" applyFill="1" applyBorder="1" applyAlignment="1">
      <alignment vertical="center" wrapText="1"/>
      <protection/>
    </xf>
    <xf numFmtId="0" fontId="7" fillId="0" borderId="17" xfId="39" applyFont="1" applyFill="1" applyBorder="1" applyAlignment="1">
      <alignment horizontal="center" vertical="center" wrapText="1"/>
      <protection/>
    </xf>
    <xf numFmtId="0" fontId="7" fillId="0" borderId="17" xfId="39" applyFont="1" applyFill="1" applyBorder="1" applyAlignment="1">
      <alignment vertical="center" wrapText="1"/>
      <protection/>
    </xf>
    <xf numFmtId="167" fontId="7" fillId="0" borderId="17" xfId="39" applyNumberFormat="1" applyFont="1" applyFill="1" applyBorder="1" applyAlignment="1">
      <alignment horizontal="center" vertical="center" wrapText="1"/>
      <protection/>
    </xf>
    <xf numFmtId="4" fontId="7" fillId="0" borderId="20" xfId="39" applyNumberFormat="1" applyFont="1" applyFill="1" applyBorder="1" applyAlignment="1">
      <alignment horizontal="right" vertical="center" wrapText="1" indent="1"/>
      <protection/>
    </xf>
    <xf numFmtId="4" fontId="7" fillId="0" borderId="21" xfId="39" applyNumberFormat="1" applyFont="1" applyFill="1" applyBorder="1" applyAlignment="1">
      <alignment horizontal="right" vertical="center" wrapText="1" indent="1"/>
      <protection/>
    </xf>
    <xf numFmtId="0" fontId="24" fillId="0" borderId="0" xfId="45" applyFont="1" applyFill="1">
      <alignment/>
      <protection/>
    </xf>
    <xf numFmtId="168" fontId="24" fillId="0" borderId="0" xfId="45" applyNumberFormat="1" applyFont="1" applyFill="1">
      <alignment/>
      <protection/>
    </xf>
    <xf numFmtId="0" fontId="39" fillId="0" borderId="0" xfId="45" applyFont="1" applyFill="1">
      <alignment/>
      <protection/>
    </xf>
    <xf numFmtId="0" fontId="40" fillId="7" borderId="8" xfId="65" applyFont="1" applyFill="1" applyBorder="1" applyAlignment="1">
      <alignment horizontal="right" vertical="center"/>
      <protection/>
    </xf>
    <xf numFmtId="0" fontId="40" fillId="7" borderId="9" xfId="65" applyFont="1" applyFill="1" applyBorder="1" applyAlignment="1">
      <alignment horizontal="center" vertical="center"/>
      <protection/>
    </xf>
    <xf numFmtId="0" fontId="41" fillId="7" borderId="9" xfId="65" applyFont="1" applyFill="1" applyBorder="1" applyAlignment="1">
      <alignment vertical="center"/>
      <protection/>
    </xf>
    <xf numFmtId="0" fontId="40" fillId="7" borderId="9" xfId="65" applyFont="1" applyFill="1" applyBorder="1" applyAlignment="1">
      <alignment horizontal="right" vertical="center"/>
      <protection/>
    </xf>
    <xf numFmtId="4" fontId="41" fillId="7" borderId="45" xfId="65" applyNumberFormat="1" applyFont="1" applyFill="1" applyBorder="1" applyAlignment="1">
      <alignment horizontal="right" vertical="center" indent="1"/>
      <protection/>
    </xf>
    <xf numFmtId="4" fontId="7" fillId="0" borderId="0" xfId="0" applyNumberFormat="1" applyFont="1" applyAlignment="1">
      <alignment horizontal="center" vertical="center" wrapText="1"/>
    </xf>
    <xf numFmtId="164" fontId="7" fillId="0" borderId="0" xfId="0" applyNumberFormat="1" applyFont="1" applyAlignment="1">
      <alignment vertical="center"/>
    </xf>
    <xf numFmtId="49" fontId="7" fillId="0" borderId="0" xfId="38" applyNumberFormat="1" applyFont="1" applyAlignment="1">
      <alignment vertical="center" wrapText="1"/>
      <protection/>
    </xf>
    <xf numFmtId="0" fontId="7" fillId="0" borderId="0" xfId="38" applyFont="1" applyAlignment="1">
      <alignment horizontal="center" vertical="center" wrapText="1"/>
      <protection/>
    </xf>
    <xf numFmtId="0" fontId="7" fillId="0" borderId="0" xfId="38" applyFont="1" applyAlignment="1">
      <alignment vertical="center" wrapText="1"/>
      <protection/>
    </xf>
    <xf numFmtId="4" fontId="7" fillId="0" borderId="0" xfId="38" applyNumberFormat="1" applyFont="1" applyAlignment="1">
      <alignment vertical="center" wrapText="1"/>
      <protection/>
    </xf>
    <xf numFmtId="164" fontId="7" fillId="0" borderId="0" xfId="38" applyNumberFormat="1" applyFont="1" applyAlignment="1">
      <alignment vertical="center" wrapText="1"/>
      <protection/>
    </xf>
    <xf numFmtId="165" fontId="17" fillId="0" borderId="0" xfId="38" applyNumberFormat="1" applyFont="1" applyAlignment="1">
      <alignment vertical="center"/>
      <protection/>
    </xf>
    <xf numFmtId="0" fontId="0" fillId="0" borderId="0" xfId="38" applyAlignment="1">
      <alignment vertical="center"/>
      <protection/>
    </xf>
    <xf numFmtId="0" fontId="7" fillId="0" borderId="1" xfId="38" applyFont="1" applyBorder="1" applyAlignment="1">
      <alignment vertical="center" wrapText="1"/>
      <protection/>
    </xf>
    <xf numFmtId="0" fontId="0" fillId="0" borderId="2" xfId="38" applyFont="1" applyBorder="1" applyAlignment="1">
      <alignment horizontal="center" vertical="center" wrapText="1"/>
      <protection/>
    </xf>
    <xf numFmtId="49" fontId="7" fillId="0" borderId="3" xfId="38" applyNumberFormat="1" applyFont="1" applyBorder="1" applyAlignment="1">
      <alignment vertical="center" wrapText="1"/>
      <protection/>
    </xf>
    <xf numFmtId="0" fontId="0" fillId="0" borderId="0" xfId="38" applyFont="1" applyBorder="1" applyAlignment="1">
      <alignment horizontal="center" vertical="center" wrapText="1"/>
      <protection/>
    </xf>
    <xf numFmtId="49" fontId="7" fillId="0" borderId="5" xfId="38" applyNumberFormat="1" applyFont="1" applyBorder="1" applyAlignment="1">
      <alignment vertical="center" wrapText="1"/>
      <protection/>
    </xf>
    <xf numFmtId="0" fontId="0" fillId="0" borderId="6" xfId="38" applyFont="1" applyBorder="1" applyAlignment="1">
      <alignment horizontal="center" vertical="center" wrapText="1"/>
      <protection/>
    </xf>
    <xf numFmtId="0" fontId="19" fillId="3" borderId="8" xfId="38" applyFont="1" applyFill="1" applyBorder="1" applyAlignment="1">
      <alignment horizontal="left" vertical="center" wrapText="1"/>
      <protection/>
    </xf>
    <xf numFmtId="0" fontId="19" fillId="3" borderId="9" xfId="38" applyFont="1" applyFill="1" applyBorder="1" applyAlignment="1">
      <alignment horizontal="center" vertical="center" wrapText="1"/>
      <protection/>
    </xf>
    <xf numFmtId="0" fontId="11" fillId="3" borderId="9" xfId="38" applyFont="1" applyFill="1" applyBorder="1" applyAlignment="1">
      <alignment horizontal="left" vertical="center" wrapText="1"/>
      <protection/>
    </xf>
    <xf numFmtId="0" fontId="7" fillId="3" borderId="9" xfId="38" applyFont="1" applyFill="1" applyBorder="1" applyAlignment="1">
      <alignment horizontal="center" vertical="center" wrapText="1"/>
      <protection/>
    </xf>
    <xf numFmtId="4" fontId="11" fillId="3" borderId="9" xfId="38" applyNumberFormat="1" applyFont="1" applyFill="1" applyBorder="1" applyAlignment="1">
      <alignment horizontal="right" vertical="center" wrapText="1"/>
      <protection/>
    </xf>
    <xf numFmtId="164" fontId="11" fillId="3" borderId="9" xfId="38" applyNumberFormat="1" applyFont="1" applyFill="1" applyBorder="1" applyAlignment="1">
      <alignment horizontal="center" vertical="center" wrapText="1"/>
      <protection/>
    </xf>
    <xf numFmtId="164" fontId="11" fillId="3" borderId="10" xfId="38" applyNumberFormat="1" applyFont="1" applyFill="1" applyBorder="1" applyAlignment="1">
      <alignment horizontal="center" vertical="center" wrapText="1"/>
      <protection/>
    </xf>
    <xf numFmtId="165" fontId="17" fillId="0" borderId="0" xfId="38" applyNumberFormat="1" applyFont="1" applyBorder="1" applyAlignment="1">
      <alignment vertical="center"/>
      <protection/>
    </xf>
    <xf numFmtId="49" fontId="7" fillId="0" borderId="11" xfId="38" applyNumberFormat="1" applyFont="1" applyBorder="1" applyAlignment="1">
      <alignment horizontal="center" vertical="center" wrapText="1"/>
      <protection/>
    </xf>
    <xf numFmtId="0" fontId="7" fillId="0" borderId="12" xfId="38" applyFont="1" applyBorder="1" applyAlignment="1">
      <alignment horizontal="center" vertical="center" wrapText="1"/>
      <protection/>
    </xf>
    <xf numFmtId="0" fontId="7" fillId="0" borderId="26" xfId="38" applyFont="1" applyBorder="1" applyAlignment="1">
      <alignment horizontal="center" vertical="center" wrapText="1"/>
      <protection/>
    </xf>
    <xf numFmtId="4" fontId="7" fillId="0" borderId="2" xfId="38" applyNumberFormat="1" applyFont="1" applyBorder="1" applyAlignment="1">
      <alignment horizontal="center" vertical="center" wrapText="1"/>
      <protection/>
    </xf>
    <xf numFmtId="164" fontId="7" fillId="0" borderId="12" xfId="38" applyNumberFormat="1" applyFont="1" applyBorder="1" applyAlignment="1">
      <alignment horizontal="center" vertical="center" wrapText="1"/>
      <protection/>
    </xf>
    <xf numFmtId="164" fontId="7" fillId="0" borderId="13" xfId="38" applyNumberFormat="1" applyFont="1" applyBorder="1" applyAlignment="1">
      <alignment horizontal="center" vertical="center" wrapText="1"/>
      <protection/>
    </xf>
    <xf numFmtId="165" fontId="20" fillId="0" borderId="0" xfId="38" applyNumberFormat="1" applyFont="1" applyBorder="1" applyAlignment="1">
      <alignment vertical="center"/>
      <protection/>
    </xf>
    <xf numFmtId="165" fontId="20" fillId="0" borderId="0" xfId="38" applyNumberFormat="1" applyFont="1" applyAlignment="1">
      <alignment vertical="center"/>
      <protection/>
    </xf>
    <xf numFmtId="0" fontId="21" fillId="0" borderId="0" xfId="38" applyFont="1" applyAlignment="1">
      <alignment vertical="center"/>
      <protection/>
    </xf>
    <xf numFmtId="49" fontId="7" fillId="0" borderId="27" xfId="38" applyNumberFormat="1" applyFont="1" applyBorder="1" applyAlignment="1">
      <alignment horizontal="center" vertical="center" wrapText="1"/>
      <protection/>
    </xf>
    <xf numFmtId="0" fontId="7" fillId="0" borderId="28" xfId="38" applyFont="1" applyBorder="1" applyAlignment="1">
      <alignment horizontal="center" vertical="center" wrapText="1"/>
      <protection/>
    </xf>
    <xf numFmtId="0" fontId="7" fillId="0" borderId="29" xfId="38" applyFont="1" applyBorder="1" applyAlignment="1">
      <alignment horizontal="center" vertical="center" wrapText="1"/>
      <protection/>
    </xf>
    <xf numFmtId="4" fontId="7" fillId="0" borderId="6" xfId="38" applyNumberFormat="1" applyFont="1" applyBorder="1" applyAlignment="1">
      <alignment horizontal="center" vertical="center" wrapText="1"/>
      <protection/>
    </xf>
    <xf numFmtId="164" fontId="7" fillId="0" borderId="28" xfId="38" applyNumberFormat="1" applyFont="1" applyBorder="1" applyAlignment="1">
      <alignment horizontal="center" vertical="center" wrapText="1"/>
      <protection/>
    </xf>
    <xf numFmtId="164" fontId="7" fillId="0" borderId="7" xfId="38" applyNumberFormat="1" applyFont="1" applyBorder="1" applyAlignment="1">
      <alignment horizontal="center" vertical="center" wrapText="1"/>
      <protection/>
    </xf>
    <xf numFmtId="49" fontId="7" fillId="0" borderId="30" xfId="38" applyNumberFormat="1" applyFont="1" applyBorder="1" applyAlignment="1">
      <alignment vertical="center" wrapText="1"/>
      <protection/>
    </xf>
    <xf numFmtId="0" fontId="7" fillId="0" borderId="31" xfId="38" applyFont="1" applyBorder="1" applyAlignment="1">
      <alignment horizontal="center" vertical="center" wrapText="1"/>
      <protection/>
    </xf>
    <xf numFmtId="0" fontId="7" fillId="0" borderId="32" xfId="38" applyFont="1" applyBorder="1" applyAlignment="1">
      <alignment horizontal="center" vertical="center" wrapText="1"/>
      <protection/>
    </xf>
    <xf numFmtId="4" fontId="7" fillId="0" borderId="31" xfId="38" applyNumberFormat="1" applyFont="1" applyBorder="1" applyAlignment="1">
      <alignment vertical="center" wrapText="1"/>
      <protection/>
    </xf>
    <xf numFmtId="164" fontId="7" fillId="0" borderId="32" xfId="38" applyNumberFormat="1" applyFont="1" applyBorder="1" applyAlignment="1">
      <alignment vertical="center" wrapText="1"/>
      <protection/>
    </xf>
    <xf numFmtId="164" fontId="7" fillId="0" borderId="33" xfId="38" applyNumberFormat="1" applyFont="1" applyBorder="1" applyAlignment="1">
      <alignment vertical="center" wrapText="1"/>
      <protection/>
    </xf>
    <xf numFmtId="165" fontId="17" fillId="0" borderId="0" xfId="38" applyNumberFormat="1" applyFont="1" applyBorder="1" applyAlignment="1">
      <alignment vertical="center" wrapText="1"/>
      <protection/>
    </xf>
    <xf numFmtId="165" fontId="17" fillId="0" borderId="0" xfId="38" applyNumberFormat="1" applyFont="1" applyAlignment="1">
      <alignment vertical="center" wrapText="1"/>
      <protection/>
    </xf>
    <xf numFmtId="0" fontId="0" fillId="0" borderId="0" xfId="38" applyAlignment="1">
      <alignment vertical="center" wrapText="1"/>
      <protection/>
    </xf>
    <xf numFmtId="49" fontId="7" fillId="0" borderId="19" xfId="38" applyNumberFormat="1" applyFont="1" applyBorder="1" applyAlignment="1">
      <alignment horizontal="left" vertical="center" wrapText="1"/>
      <protection/>
    </xf>
    <xf numFmtId="0" fontId="7" fillId="0" borderId="20" xfId="38" applyFont="1" applyBorder="1" applyAlignment="1">
      <alignment horizontal="center" vertical="center" wrapText="1"/>
      <protection/>
    </xf>
    <xf numFmtId="0" fontId="11" fillId="0" borderId="20" xfId="38" applyFont="1" applyBorder="1" applyAlignment="1">
      <alignment horizontal="left" vertical="center" wrapText="1"/>
      <protection/>
    </xf>
    <xf numFmtId="4" fontId="7" fillId="0" borderId="34" xfId="38" applyNumberFormat="1" applyFont="1" applyBorder="1" applyAlignment="1">
      <alignment horizontal="left" vertical="center" wrapText="1"/>
      <protection/>
    </xf>
    <xf numFmtId="164" fontId="7" fillId="0" borderId="20" xfId="38" applyNumberFormat="1" applyFont="1" applyBorder="1" applyAlignment="1">
      <alignment horizontal="left" vertical="center" wrapText="1"/>
      <protection/>
    </xf>
    <xf numFmtId="164" fontId="7" fillId="0" borderId="35" xfId="38" applyNumberFormat="1" applyFont="1" applyBorder="1" applyAlignment="1">
      <alignment horizontal="left" vertical="center" wrapText="1"/>
      <protection/>
    </xf>
    <xf numFmtId="165" fontId="17" fillId="0" borderId="0" xfId="38" applyNumberFormat="1" applyFont="1" applyBorder="1" applyAlignment="1">
      <alignment horizontal="left" vertical="center" wrapText="1"/>
      <protection/>
    </xf>
    <xf numFmtId="165" fontId="17" fillId="0" borderId="0" xfId="38" applyNumberFormat="1" applyFont="1" applyAlignment="1">
      <alignment horizontal="left" vertical="center" wrapText="1"/>
      <protection/>
    </xf>
    <xf numFmtId="0" fontId="0" fillId="0" borderId="0" xfId="38" applyFont="1" applyAlignment="1">
      <alignment horizontal="left" vertical="center" wrapText="1"/>
      <protection/>
    </xf>
    <xf numFmtId="49" fontId="7" fillId="0" borderId="19" xfId="38" applyNumberFormat="1" applyFont="1" applyBorder="1" applyAlignment="1">
      <alignment vertical="center" wrapText="1"/>
      <protection/>
    </xf>
    <xf numFmtId="0" fontId="7" fillId="0" borderId="20" xfId="38" applyFont="1" applyBorder="1" applyAlignment="1">
      <alignment horizontal="center" vertical="center" wrapText="1"/>
      <protection/>
    </xf>
    <xf numFmtId="4" fontId="7" fillId="0" borderId="20" xfId="38" applyNumberFormat="1" applyFont="1" applyBorder="1" applyAlignment="1">
      <alignment vertical="center" wrapText="1"/>
      <protection/>
    </xf>
    <xf numFmtId="164" fontId="7" fillId="2" borderId="20" xfId="38" applyNumberFormat="1" applyFont="1" applyFill="1" applyBorder="1" applyAlignment="1">
      <alignment vertical="center" wrapText="1"/>
      <protection/>
    </xf>
    <xf numFmtId="164" fontId="7" fillId="0" borderId="21" xfId="38" applyNumberFormat="1" applyFont="1" applyBorder="1" applyAlignment="1">
      <alignment vertical="center" wrapText="1"/>
      <protection/>
    </xf>
    <xf numFmtId="49" fontId="7" fillId="0" borderId="36" xfId="38" applyNumberFormat="1" applyFont="1" applyBorder="1" applyAlignment="1">
      <alignment vertical="center" wrapText="1"/>
      <protection/>
    </xf>
    <xf numFmtId="0" fontId="7" fillId="0" borderId="37" xfId="38" applyFont="1" applyBorder="1" applyAlignment="1">
      <alignment horizontal="center" vertical="center" wrapText="1"/>
      <protection/>
    </xf>
    <xf numFmtId="0" fontId="7" fillId="0" borderId="37" xfId="38" applyFont="1" applyFill="1" applyBorder="1" applyAlignment="1">
      <alignment wrapText="1"/>
      <protection/>
    </xf>
    <xf numFmtId="4" fontId="7" fillId="0" borderId="37" xfId="38" applyNumberFormat="1" applyFont="1" applyBorder="1" applyAlignment="1">
      <alignment vertical="center" wrapText="1"/>
      <protection/>
    </xf>
    <xf numFmtId="164" fontId="7" fillId="2" borderId="37" xfId="38" applyNumberFormat="1" applyFont="1" applyFill="1" applyBorder="1" applyAlignment="1">
      <alignment vertical="center" wrapText="1"/>
      <protection/>
    </xf>
    <xf numFmtId="164" fontId="7" fillId="0" borderId="38" xfId="38" applyNumberFormat="1" applyFont="1" applyBorder="1" applyAlignment="1">
      <alignment vertical="center" wrapText="1"/>
      <protection/>
    </xf>
    <xf numFmtId="49" fontId="7" fillId="0" borderId="16" xfId="38" applyNumberFormat="1" applyFont="1" applyBorder="1" applyAlignment="1">
      <alignment vertical="center" wrapText="1"/>
      <protection/>
    </xf>
    <xf numFmtId="0" fontId="7" fillId="0" borderId="17" xfId="38" applyFont="1" applyBorder="1" applyAlignment="1">
      <alignment horizontal="center" vertical="center" wrapText="1"/>
      <protection/>
    </xf>
    <xf numFmtId="0" fontId="7" fillId="0" borderId="17" xfId="38" applyFont="1" applyFill="1" applyBorder="1" applyAlignment="1">
      <alignment vertical="top" wrapText="1"/>
      <protection/>
    </xf>
    <xf numFmtId="4" fontId="7" fillId="0" borderId="17" xfId="38" applyNumberFormat="1" applyFont="1" applyBorder="1" applyAlignment="1">
      <alignment vertical="center" wrapText="1"/>
      <protection/>
    </xf>
    <xf numFmtId="164" fontId="7" fillId="2" borderId="17" xfId="38" applyNumberFormat="1" applyFont="1" applyFill="1" applyBorder="1" applyAlignment="1">
      <alignment vertical="center" wrapText="1"/>
      <protection/>
    </xf>
    <xf numFmtId="164" fontId="7" fillId="0" borderId="18" xfId="38" applyNumberFormat="1" applyFont="1" applyBorder="1" applyAlignment="1">
      <alignment vertical="center" wrapText="1"/>
      <protection/>
    </xf>
    <xf numFmtId="0" fontId="7" fillId="0" borderId="20" xfId="38" applyFont="1" applyBorder="1" applyAlignment="1">
      <alignment vertical="center" wrapText="1"/>
      <protection/>
    </xf>
    <xf numFmtId="4" fontId="7" fillId="0" borderId="35" xfId="37" applyNumberFormat="1" applyFont="1" applyBorder="1" applyAlignment="1">
      <alignment horizontal="right" vertical="center" wrapText="1" indent="1"/>
      <protection/>
    </xf>
    <xf numFmtId="4" fontId="7" fillId="0" borderId="21" xfId="37" applyNumberFormat="1" applyFont="1" applyBorder="1" applyAlignment="1">
      <alignment horizontal="right" vertical="center" wrapText="1" indent="1"/>
      <protection/>
    </xf>
    <xf numFmtId="49" fontId="7" fillId="10" borderId="10" xfId="68" applyNumberFormat="1" applyFont="1" applyFill="1" applyBorder="1" applyAlignment="1">
      <alignment horizontal="right" vertical="center" wrapText="1" indent="1"/>
      <protection/>
    </xf>
    <xf numFmtId="0" fontId="11" fillId="11" borderId="42" xfId="75" applyFont="1" applyFill="1" applyBorder="1" applyAlignment="1" applyProtection="1">
      <alignment horizontal="center" vertical="top" wrapText="1"/>
      <protection/>
    </xf>
    <xf numFmtId="166" fontId="11" fillId="11" borderId="42" xfId="75" applyNumberFormat="1" applyFont="1" applyFill="1" applyBorder="1" applyAlignment="1" applyProtection="1">
      <alignment wrapText="1"/>
      <protection/>
    </xf>
    <xf numFmtId="164" fontId="7" fillId="11" borderId="4" xfId="37" applyNumberFormat="1" applyFont="1" applyFill="1" applyBorder="1" applyAlignment="1">
      <alignment horizontal="right" vertical="center" wrapText="1" indent="1"/>
      <protection/>
    </xf>
    <xf numFmtId="0" fontId="7" fillId="0" borderId="32" xfId="37" applyFont="1" applyFill="1" applyBorder="1" applyAlignment="1">
      <alignment horizontal="center" wrapText="1"/>
      <protection/>
    </xf>
    <xf numFmtId="4" fontId="7" fillId="0" borderId="32" xfId="37" applyNumberFormat="1" applyFont="1" applyBorder="1" applyAlignment="1">
      <alignment horizontal="right" vertical="center" wrapText="1" indent="1"/>
      <protection/>
    </xf>
    <xf numFmtId="4" fontId="7" fillId="0" borderId="32" xfId="37" applyNumberFormat="1" applyFont="1" applyFill="1" applyBorder="1" applyAlignment="1">
      <alignment horizontal="right" vertical="center" wrapText="1" indent="1"/>
      <protection/>
    </xf>
    <xf numFmtId="4" fontId="7" fillId="0" borderId="44" xfId="37" applyNumberFormat="1" applyFont="1" applyBorder="1" applyAlignment="1">
      <alignment horizontal="right" vertical="center" wrapText="1" indent="1"/>
      <protection/>
    </xf>
    <xf numFmtId="4" fontId="7" fillId="0" borderId="20" xfId="38" applyNumberFormat="1" applyFont="1" applyFill="1" applyBorder="1" applyAlignment="1">
      <alignment horizontal="right" vertical="center" indent="1"/>
      <protection/>
    </xf>
    <xf numFmtId="0" fontId="17" fillId="0" borderId="0" xfId="38" applyFont="1" applyFill="1" applyBorder="1" applyAlignment="1">
      <alignment vertical="center"/>
      <protection/>
    </xf>
    <xf numFmtId="0" fontId="17" fillId="0" borderId="0" xfId="38" applyFont="1" applyFill="1" applyAlignment="1">
      <alignment vertical="center"/>
      <protection/>
    </xf>
    <xf numFmtId="165" fontId="28" fillId="0" borderId="0" xfId="38" applyNumberFormat="1" applyFont="1" applyFill="1" applyBorder="1" applyAlignment="1">
      <alignment vertical="center"/>
      <protection/>
    </xf>
    <xf numFmtId="165" fontId="29" fillId="0" borderId="0" xfId="38" applyNumberFormat="1" applyFont="1" applyFill="1" applyBorder="1" applyAlignment="1">
      <alignment vertical="center"/>
      <protection/>
    </xf>
    <xf numFmtId="0" fontId="29" fillId="0" borderId="0" xfId="38" applyFont="1" applyFill="1" applyBorder="1" applyAlignment="1">
      <alignment vertical="center"/>
      <protection/>
    </xf>
    <xf numFmtId="0" fontId="29" fillId="0" borderId="0" xfId="38" applyFont="1" applyFill="1" applyAlignment="1">
      <alignment vertical="center"/>
      <protection/>
    </xf>
    <xf numFmtId="165" fontId="33" fillId="0" borderId="0" xfId="38" applyNumberFormat="1" applyFont="1" applyFill="1" applyBorder="1" applyAlignment="1">
      <alignment vertical="center"/>
      <protection/>
    </xf>
    <xf numFmtId="0" fontId="7" fillId="0" borderId="37" xfId="37" applyFont="1" applyFill="1" applyBorder="1" applyAlignment="1">
      <alignment horizontal="center" wrapText="1"/>
      <protection/>
    </xf>
    <xf numFmtId="4" fontId="7" fillId="0" borderId="37" xfId="37" applyNumberFormat="1" applyFont="1" applyBorder="1" applyAlignment="1">
      <alignment horizontal="right" vertical="center" wrapText="1" indent="1"/>
      <protection/>
    </xf>
    <xf numFmtId="4" fontId="7" fillId="0" borderId="37" xfId="37" applyNumberFormat="1" applyFont="1" applyFill="1" applyBorder="1" applyAlignment="1">
      <alignment horizontal="right" vertical="center" wrapText="1" indent="1"/>
      <protection/>
    </xf>
    <xf numFmtId="4" fontId="7" fillId="0" borderId="38" xfId="37" applyNumberFormat="1" applyFont="1" applyBorder="1" applyAlignment="1">
      <alignment horizontal="right" vertical="center" wrapText="1" indent="1"/>
      <protection/>
    </xf>
    <xf numFmtId="4" fontId="7" fillId="0" borderId="9" xfId="37" applyNumberFormat="1" applyFont="1" applyFill="1" applyBorder="1" applyAlignment="1">
      <alignment horizontal="right" vertical="center" wrapText="1" indent="1"/>
      <protection/>
    </xf>
    <xf numFmtId="164" fontId="7" fillId="0" borderId="9" xfId="37" applyNumberFormat="1" applyFont="1" applyBorder="1" applyAlignment="1">
      <alignment horizontal="right" vertical="center" wrapText="1" indent="1"/>
      <protection/>
    </xf>
    <xf numFmtId="4" fontId="7" fillId="0" borderId="38" xfId="37" applyNumberFormat="1" applyFont="1" applyFill="1" applyBorder="1" applyAlignment="1">
      <alignment horizontal="right" vertical="center" wrapText="1" indent="1"/>
      <protection/>
    </xf>
    <xf numFmtId="4" fontId="27" fillId="0" borderId="37" xfId="38" applyNumberFormat="1" applyFont="1" applyFill="1" applyBorder="1" applyAlignment="1">
      <alignment horizontal="right" vertical="center" wrapText="1" indent="1"/>
      <protection/>
    </xf>
    <xf numFmtId="165" fontId="37" fillId="0" borderId="0" xfId="38" applyNumberFormat="1" applyFont="1" applyFill="1" applyBorder="1" applyAlignment="1">
      <alignment vertical="center"/>
      <protection/>
    </xf>
    <xf numFmtId="0" fontId="37" fillId="0" borderId="0" xfId="38" applyFont="1" applyFill="1" applyBorder="1" applyAlignment="1">
      <alignment vertical="center"/>
      <protection/>
    </xf>
    <xf numFmtId="0" fontId="37" fillId="0" borderId="0" xfId="38" applyFont="1" applyFill="1" applyAlignment="1">
      <alignment vertical="center"/>
      <protection/>
    </xf>
    <xf numFmtId="2" fontId="42" fillId="0" borderId="20" xfId="38" applyNumberFormat="1" applyFont="1" applyFill="1" applyBorder="1" applyAlignment="1">
      <alignment horizontal="center" vertical="center" wrapText="1"/>
      <protection/>
    </xf>
    <xf numFmtId="4" fontId="27" fillId="0" borderId="38" xfId="37" applyNumberFormat="1" applyFont="1" applyFill="1" applyBorder="1" applyAlignment="1">
      <alignment horizontal="right" vertical="center" wrapText="1" indent="1"/>
      <protection/>
    </xf>
    <xf numFmtId="0" fontId="27" fillId="0" borderId="37" xfId="37" applyFont="1" applyFill="1" applyBorder="1" applyAlignment="1">
      <alignment horizontal="center" vertical="center" wrapText="1"/>
      <protection/>
    </xf>
    <xf numFmtId="4" fontId="7" fillId="0" borderId="37" xfId="37" applyNumberFormat="1" applyFont="1" applyFill="1" applyBorder="1" applyAlignment="1">
      <alignment horizontal="right" vertical="center" wrapText="1" indent="1"/>
      <protection/>
    </xf>
    <xf numFmtId="165" fontId="29" fillId="0" borderId="0" xfId="38" applyNumberFormat="1" applyFont="1" applyFill="1" applyAlignment="1">
      <alignment vertical="center"/>
      <protection/>
    </xf>
    <xf numFmtId="165" fontId="37" fillId="0" borderId="0" xfId="38" applyNumberFormat="1" applyFont="1" applyFill="1" applyAlignment="1">
      <alignment vertical="center"/>
      <protection/>
    </xf>
    <xf numFmtId="0" fontId="31" fillId="0" borderId="20" xfId="38" applyFont="1" applyFill="1" applyBorder="1" applyAlignment="1">
      <alignment horizontal="center" vertical="center" wrapText="1"/>
      <protection/>
    </xf>
    <xf numFmtId="4" fontId="31" fillId="0" borderId="37" xfId="38" applyNumberFormat="1" applyFont="1" applyFill="1" applyBorder="1" applyAlignment="1">
      <alignment horizontal="right" vertical="center" indent="1"/>
      <protection/>
    </xf>
    <xf numFmtId="165" fontId="38" fillId="0" borderId="0" xfId="38" applyNumberFormat="1" applyFont="1" applyFill="1" applyBorder="1" applyAlignment="1">
      <alignment vertical="center"/>
      <protection/>
    </xf>
    <xf numFmtId="49" fontId="27" fillId="0" borderId="19" xfId="37" applyNumberFormat="1" applyFont="1" applyFill="1" applyBorder="1" applyAlignment="1">
      <alignment horizontal="center" vertical="center" wrapText="1"/>
      <protection/>
    </xf>
    <xf numFmtId="0" fontId="11" fillId="0" borderId="20" xfId="37" applyFont="1" applyFill="1" applyBorder="1" applyAlignment="1">
      <alignment horizontal="center" vertical="center" wrapText="1"/>
      <protection/>
    </xf>
    <xf numFmtId="0" fontId="7" fillId="0" borderId="20" xfId="38" applyFont="1" applyFill="1" applyBorder="1" applyAlignment="1">
      <alignment vertical="center" wrapText="1"/>
      <protection/>
    </xf>
    <xf numFmtId="165" fontId="43" fillId="0" borderId="0" xfId="38" applyNumberFormat="1" applyFont="1" applyFill="1" applyBorder="1" applyAlignment="1">
      <alignment vertical="center"/>
      <protection/>
    </xf>
    <xf numFmtId="165" fontId="15" fillId="0" borderId="0" xfId="38" applyNumberFormat="1" applyFont="1" applyFill="1" applyAlignment="1">
      <alignment vertical="center"/>
      <protection/>
    </xf>
    <xf numFmtId="0" fontId="15" fillId="0" borderId="0" xfId="38" applyFont="1" applyFill="1" applyAlignment="1">
      <alignment vertical="center"/>
      <protection/>
    </xf>
    <xf numFmtId="165" fontId="33" fillId="0" borderId="0" xfId="38" applyNumberFormat="1" applyFont="1" applyFill="1" applyAlignment="1">
      <alignment vertical="center"/>
      <protection/>
    </xf>
    <xf numFmtId="4" fontId="7" fillId="0" borderId="17" xfId="37" applyNumberFormat="1" applyFont="1" applyFill="1" applyBorder="1" applyAlignment="1">
      <alignment horizontal="right" vertical="center" wrapText="1" indent="1"/>
      <protection/>
    </xf>
    <xf numFmtId="166" fontId="11" fillId="11" borderId="42" xfId="75" applyNumberFormat="1" applyFont="1" applyFill="1" applyBorder="1" applyAlignment="1" applyProtection="1">
      <alignment horizontal="right" wrapText="1" indent="1"/>
      <protection/>
    </xf>
    <xf numFmtId="164" fontId="7" fillId="11" borderId="42" xfId="37" applyNumberFormat="1" applyFont="1" applyFill="1" applyBorder="1" applyAlignment="1">
      <alignment horizontal="right" vertical="center" wrapText="1" indent="1"/>
      <protection/>
    </xf>
    <xf numFmtId="0" fontId="7" fillId="0" borderId="17" xfId="39" applyFont="1" applyBorder="1" applyAlignment="1">
      <alignment horizontal="center" vertical="center" wrapText="1"/>
      <protection/>
    </xf>
    <xf numFmtId="0" fontId="7" fillId="0" borderId="17" xfId="39" applyFont="1" applyBorder="1" applyAlignment="1">
      <alignment vertical="center" wrapText="1"/>
      <protection/>
    </xf>
    <xf numFmtId="167" fontId="7" fillId="0" borderId="17" xfId="39" applyNumberFormat="1" applyFont="1" applyBorder="1" applyAlignment="1">
      <alignment horizontal="center" vertical="center" wrapText="1"/>
      <protection/>
    </xf>
    <xf numFmtId="4" fontId="7" fillId="0" borderId="20" xfId="39" applyNumberFormat="1" applyFont="1" applyBorder="1" applyAlignment="1">
      <alignment horizontal="right" vertical="center" wrapText="1" indent="1"/>
      <protection/>
    </xf>
    <xf numFmtId="4" fontId="7" fillId="0" borderId="21" xfId="39" applyNumberFormat="1" applyFont="1" applyBorder="1" applyAlignment="1">
      <alignment horizontal="right" vertical="center" wrapText="1" indent="1"/>
      <protection/>
    </xf>
    <xf numFmtId="0" fontId="24" fillId="0" borderId="0" xfId="45" applyFont="1">
      <alignment/>
      <protection/>
    </xf>
    <xf numFmtId="168" fontId="24" fillId="0" borderId="0" xfId="45" applyNumberFormat="1" applyFont="1">
      <alignment/>
      <protection/>
    </xf>
    <xf numFmtId="0" fontId="39" fillId="0" borderId="0" xfId="45" applyFont="1">
      <alignment/>
      <protection/>
    </xf>
    <xf numFmtId="4" fontId="7" fillId="0" borderId="23" xfId="37" applyNumberFormat="1" applyFont="1" applyBorder="1" applyAlignment="1">
      <alignment horizontal="right" vertical="center" wrapText="1" indent="1"/>
      <protection/>
    </xf>
    <xf numFmtId="4" fontId="7" fillId="0" borderId="23" xfId="37" applyNumberFormat="1" applyFont="1" applyFill="1" applyBorder="1" applyAlignment="1">
      <alignment horizontal="right" vertical="center" wrapText="1" indent="1"/>
      <protection/>
    </xf>
    <xf numFmtId="4" fontId="7" fillId="0" borderId="24" xfId="37" applyNumberFormat="1" applyFont="1" applyBorder="1" applyAlignment="1">
      <alignment horizontal="right" vertical="center" wrapText="1" indent="1"/>
      <protection/>
    </xf>
    <xf numFmtId="0" fontId="40" fillId="7" borderId="8" xfId="65" applyFont="1" applyFill="1" applyBorder="1" applyAlignment="1">
      <alignment horizontal="right" vertical="center" indent="1"/>
      <protection/>
    </xf>
    <xf numFmtId="0" fontId="40" fillId="7" borderId="9" xfId="65" applyFont="1" applyFill="1" applyBorder="1" applyAlignment="1">
      <alignment horizontal="right" vertical="center" indent="1"/>
      <protection/>
    </xf>
    <xf numFmtId="49" fontId="7" fillId="0" borderId="16" xfId="37" applyNumberFormat="1" applyFont="1" applyFill="1" applyBorder="1" applyAlignment="1">
      <alignment horizontal="center" vertical="center" wrapText="1"/>
      <protection/>
    </xf>
    <xf numFmtId="0" fontId="7" fillId="0" borderId="17" xfId="38" applyFont="1" applyFill="1" applyBorder="1" applyAlignment="1">
      <alignment vertical="center" wrapText="1"/>
      <protection/>
    </xf>
    <xf numFmtId="0" fontId="7" fillId="0" borderId="17" xfId="38" applyFont="1" applyFill="1" applyBorder="1" applyAlignment="1">
      <alignment horizontal="center" vertical="center" wrapText="1"/>
      <protection/>
    </xf>
    <xf numFmtId="4" fontId="7" fillId="0" borderId="17" xfId="38" applyNumberFormat="1" applyFont="1" applyFill="1" applyBorder="1" applyAlignment="1">
      <alignment horizontal="right" vertical="center" indent="1"/>
      <protection/>
    </xf>
    <xf numFmtId="4" fontId="7" fillId="0" borderId="18" xfId="37" applyNumberFormat="1" applyFont="1" applyFill="1" applyBorder="1" applyAlignment="1">
      <alignment horizontal="right" vertical="center" indent="1"/>
      <protection/>
    </xf>
    <xf numFmtId="4" fontId="31" fillId="0" borderId="18" xfId="37" applyNumberFormat="1" applyFont="1" applyFill="1" applyBorder="1" applyAlignment="1">
      <alignment horizontal="right" vertical="center" wrapText="1"/>
      <protection/>
    </xf>
    <xf numFmtId="0" fontId="0" fillId="0" borderId="0" xfId="38" applyFont="1" applyFill="1" applyAlignment="1">
      <alignment vertical="center"/>
      <protection/>
    </xf>
    <xf numFmtId="0" fontId="11" fillId="0" borderId="17" xfId="37" applyFont="1" applyFill="1" applyBorder="1" applyAlignment="1">
      <alignment horizontal="center" vertical="center" wrapText="1"/>
      <protection/>
    </xf>
    <xf numFmtId="0" fontId="7" fillId="0" borderId="20" xfId="38" applyFont="1" applyFill="1" applyBorder="1" applyAlignment="1">
      <alignment horizontal="center" vertical="center" wrapText="1"/>
      <protection/>
    </xf>
    <xf numFmtId="2" fontId="7" fillId="0" borderId="20" xfId="38" applyNumberFormat="1" applyFont="1" applyFill="1" applyBorder="1" applyAlignment="1">
      <alignment horizontal="center" vertical="center" wrapText="1"/>
      <protection/>
    </xf>
    <xf numFmtId="49" fontId="27" fillId="0" borderId="36" xfId="37" applyNumberFormat="1" applyFont="1" applyFill="1" applyBorder="1" applyAlignment="1">
      <alignment horizontal="center" vertical="center" wrapText="1"/>
      <protection/>
    </xf>
    <xf numFmtId="0" fontId="27" fillId="0" borderId="17" xfId="37" applyFont="1" applyFill="1" applyBorder="1" applyAlignment="1">
      <alignment vertical="center" wrapText="1"/>
      <protection/>
    </xf>
    <xf numFmtId="2" fontId="27" fillId="0" borderId="20" xfId="38" applyNumberFormat="1" applyFont="1" applyFill="1" applyBorder="1" applyAlignment="1">
      <alignment horizontal="center" vertical="center" wrapText="1"/>
      <protection/>
    </xf>
    <xf numFmtId="0" fontId="27" fillId="0" borderId="17" xfId="38" applyFont="1" applyFill="1" applyBorder="1" applyAlignment="1">
      <alignment vertical="center" wrapText="1"/>
      <protection/>
    </xf>
    <xf numFmtId="0" fontId="44" fillId="0" borderId="37" xfId="37" applyFont="1" applyFill="1" applyBorder="1" applyAlignment="1">
      <alignment horizontal="center" vertical="center" wrapText="1"/>
      <protection/>
    </xf>
    <xf numFmtId="2" fontId="44" fillId="0" borderId="20" xfId="38" applyNumberFormat="1" applyFont="1" applyFill="1" applyBorder="1" applyAlignment="1">
      <alignment horizontal="center" vertical="center" wrapText="1"/>
      <protection/>
    </xf>
    <xf numFmtId="4" fontId="44" fillId="0" borderId="37" xfId="38" applyNumberFormat="1" applyFont="1" applyFill="1" applyBorder="1" applyAlignment="1">
      <alignment horizontal="right" vertical="center" wrapText="1" indent="1"/>
      <protection/>
    </xf>
    <xf numFmtId="4" fontId="44" fillId="0" borderId="38" xfId="37" applyNumberFormat="1" applyFont="1" applyFill="1" applyBorder="1" applyAlignment="1">
      <alignment horizontal="right" vertical="center" wrapText="1" indent="1"/>
      <protection/>
    </xf>
    <xf numFmtId="165" fontId="45" fillId="0" borderId="0" xfId="38" applyNumberFormat="1" applyFont="1" applyFill="1" applyBorder="1" applyAlignment="1">
      <alignment vertical="center"/>
      <protection/>
    </xf>
    <xf numFmtId="165" fontId="46" fillId="0" borderId="0" xfId="38" applyNumberFormat="1" applyFont="1" applyFill="1" applyAlignment="1">
      <alignment vertical="center"/>
      <protection/>
    </xf>
    <xf numFmtId="0" fontId="46" fillId="0" borderId="0" xfId="38" applyFont="1" applyFill="1" applyAlignment="1">
      <alignment vertical="center"/>
      <protection/>
    </xf>
    <xf numFmtId="4" fontId="7" fillId="0" borderId="20" xfId="37" applyNumberFormat="1" applyFont="1" applyFill="1" applyBorder="1" applyAlignment="1">
      <alignment horizontal="center" vertical="center" wrapText="1"/>
      <protection/>
    </xf>
    <xf numFmtId="0" fontId="7" fillId="0" borderId="17" xfId="37" applyFont="1" applyFill="1" applyBorder="1" applyAlignment="1">
      <alignment horizontal="center" wrapText="1"/>
      <protection/>
    </xf>
    <xf numFmtId="4" fontId="7" fillId="0" borderId="18" xfId="37" applyNumberFormat="1" applyFont="1" applyFill="1" applyBorder="1" applyAlignment="1">
      <alignment horizontal="right" vertical="center" wrapText="1" indent="1"/>
      <protection/>
    </xf>
    <xf numFmtId="49" fontId="34" fillId="0" borderId="20" xfId="66" applyNumberFormat="1" applyFont="1" applyFill="1" applyBorder="1" applyAlignment="1">
      <alignment vertical="center" wrapText="1"/>
      <protection/>
    </xf>
    <xf numFmtId="165" fontId="17" fillId="0" borderId="0" xfId="0" applyNumberFormat="1" applyFont="1" applyAlignment="1">
      <alignment vertical="center"/>
    </xf>
    <xf numFmtId="165" fontId="17" fillId="0" borderId="0" xfId="0" applyNumberFormat="1" applyFont="1" applyFill="1" applyAlignment="1">
      <alignment vertical="center"/>
    </xf>
    <xf numFmtId="165" fontId="20" fillId="0" borderId="0" xfId="0" applyNumberFormat="1" applyFont="1" applyAlignment="1">
      <alignment vertical="center"/>
    </xf>
    <xf numFmtId="165" fontId="17" fillId="0" borderId="0" xfId="0" applyNumberFormat="1" applyFont="1" applyAlignment="1">
      <alignment vertical="center" wrapText="1"/>
    </xf>
    <xf numFmtId="165" fontId="17" fillId="0" borderId="0" xfId="0" applyNumberFormat="1" applyFont="1" applyAlignment="1">
      <alignment horizontal="left" vertical="center" wrapText="1"/>
    </xf>
    <xf numFmtId="0" fontId="7" fillId="0" borderId="37" xfId="0" applyFont="1" applyFill="1" applyBorder="1" applyAlignment="1">
      <alignment wrapText="1"/>
    </xf>
    <xf numFmtId="0" fontId="7" fillId="0" borderId="17" xfId="0" applyFont="1" applyFill="1" applyBorder="1" applyAlignment="1">
      <alignment vertical="top" wrapText="1"/>
    </xf>
    <xf numFmtId="0" fontId="11" fillId="0" borderId="19" xfId="37" applyNumberFormat="1" applyFont="1" applyFill="1" applyBorder="1" applyAlignment="1">
      <alignment horizontal="center" vertical="center" wrapText="1"/>
      <protection/>
    </xf>
    <xf numFmtId="165" fontId="33" fillId="0" borderId="0" xfId="0" applyNumberFormat="1" applyFont="1" applyAlignment="1">
      <alignment vertical="center"/>
    </xf>
    <xf numFmtId="0" fontId="7" fillId="0" borderId="17" xfId="37" applyFont="1" applyBorder="1" applyAlignment="1">
      <alignment horizontal="center" vertical="center" wrapText="1"/>
      <protection/>
    </xf>
    <xf numFmtId="4" fontId="7" fillId="0" borderId="17" xfId="37" applyNumberFormat="1" applyFont="1" applyBorder="1" applyAlignment="1">
      <alignment horizontal="right" vertical="center" wrapText="1" indent="1"/>
      <protection/>
    </xf>
    <xf numFmtId="165" fontId="7" fillId="0" borderId="0" xfId="0" applyNumberFormat="1" applyFont="1" applyAlignment="1">
      <alignment horizontal="center" vertical="center" wrapText="1"/>
    </xf>
    <xf numFmtId="0" fontId="7" fillId="0" borderId="17" xfId="37" applyFont="1" applyBorder="1" applyAlignment="1">
      <alignment vertical="center" wrapText="1"/>
      <protection/>
    </xf>
    <xf numFmtId="4" fontId="7" fillId="0" borderId="20" xfId="37" applyNumberFormat="1" applyFont="1" applyBorder="1" applyAlignment="1">
      <alignment horizontal="right" vertical="center" wrapText="1" indent="1"/>
      <protection/>
    </xf>
    <xf numFmtId="49" fontId="36" fillId="0" borderId="20" xfId="69" applyNumberFormat="1" applyFont="1" applyFill="1" applyBorder="1" applyAlignment="1">
      <alignment horizontal="center" vertical="center"/>
      <protection/>
    </xf>
    <xf numFmtId="0" fontId="47" fillId="0" borderId="20" xfId="69" applyNumberFormat="1" applyFont="1" applyFill="1" applyBorder="1" applyAlignment="1" applyProtection="1">
      <alignment wrapText="1"/>
      <protection hidden="1"/>
    </xf>
    <xf numFmtId="4" fontId="7" fillId="0" borderId="20" xfId="64" applyNumberFormat="1" applyFont="1" applyFill="1" applyBorder="1" applyAlignment="1" applyProtection="1">
      <alignment horizontal="center" vertical="center" wrapText="1"/>
      <protection/>
    </xf>
    <xf numFmtId="4" fontId="7" fillId="0" borderId="20" xfId="58" applyNumberFormat="1" applyFont="1" applyFill="1" applyBorder="1" applyAlignment="1">
      <alignment horizontal="right" vertical="center" indent="1"/>
      <protection/>
    </xf>
    <xf numFmtId="4" fontId="34" fillId="0" borderId="20" xfId="69" applyNumberFormat="1" applyFont="1" applyFill="1" applyBorder="1" applyAlignment="1" applyProtection="1">
      <alignment horizontal="right" vertical="center" indent="1"/>
      <protection locked="0"/>
    </xf>
    <xf numFmtId="0" fontId="0" fillId="0" borderId="0" xfId="69" applyFont="1" applyFill="1">
      <alignment/>
      <protection/>
    </xf>
    <xf numFmtId="0" fontId="7" fillId="0" borderId="20" xfId="32" applyFont="1" applyFill="1" applyBorder="1">
      <alignment/>
      <protection/>
    </xf>
    <xf numFmtId="0" fontId="7" fillId="0" borderId="20" xfId="39" applyFont="1" applyFill="1" applyBorder="1" applyAlignment="1">
      <alignment wrapText="1"/>
      <protection/>
    </xf>
    <xf numFmtId="0" fontId="7" fillId="0" borderId="20" xfId="39" applyFont="1" applyFill="1" applyBorder="1" applyAlignment="1" applyProtection="1">
      <alignment vertical="center" wrapText="1"/>
      <protection hidden="1"/>
    </xf>
    <xf numFmtId="0" fontId="7" fillId="0" borderId="20" xfId="39" applyFont="1" applyFill="1" applyBorder="1" applyAlignment="1" applyProtection="1">
      <alignment horizontal="center" vertical="center" wrapText="1"/>
      <protection hidden="1"/>
    </xf>
    <xf numFmtId="4" fontId="7" fillId="0" borderId="20" xfId="39" applyNumberFormat="1" applyFont="1" applyFill="1" applyBorder="1" applyAlignment="1" applyProtection="1">
      <alignment horizontal="right" vertical="center" indent="1"/>
      <protection hidden="1"/>
    </xf>
    <xf numFmtId="0" fontId="0" fillId="0" borderId="0" xfId="39" applyFill="1" applyAlignment="1">
      <alignment vertical="center" wrapText="1"/>
      <protection/>
    </xf>
    <xf numFmtId="0" fontId="11" fillId="0" borderId="20" xfId="39" applyFont="1" applyFill="1" applyBorder="1" applyAlignment="1" applyProtection="1">
      <alignment vertical="center" wrapText="1"/>
      <protection hidden="1"/>
    </xf>
    <xf numFmtId="49" fontId="48" fillId="0" borderId="20" xfId="69" applyNumberFormat="1" applyFont="1" applyFill="1" applyBorder="1" applyAlignment="1">
      <alignment horizontal="center" vertical="center"/>
      <protection/>
    </xf>
    <xf numFmtId="49" fontId="34" fillId="0" borderId="20" xfId="69" applyNumberFormat="1" applyFont="1" applyFill="1" applyBorder="1" applyAlignment="1">
      <alignment horizontal="left" vertical="center"/>
      <protection/>
    </xf>
    <xf numFmtId="0" fontId="7" fillId="0" borderId="20" xfId="39" applyFont="1" applyFill="1" applyBorder="1" applyAlignment="1">
      <alignment horizontal="left" vertical="center" wrapText="1"/>
      <protection/>
    </xf>
    <xf numFmtId="0" fontId="0" fillId="0" borderId="0" xfId="0" applyFill="1" applyAlignment="1">
      <alignment vertical="center" wrapText="1"/>
    </xf>
    <xf numFmtId="165" fontId="51" fillId="0" borderId="0" xfId="0" applyNumberFormat="1" applyFont="1" applyAlignment="1">
      <alignment vertical="center"/>
    </xf>
    <xf numFmtId="0" fontId="7" fillId="0" borderId="37" xfId="39" applyFont="1" applyFill="1" applyBorder="1" applyAlignment="1">
      <alignment wrapText="1"/>
      <protection/>
    </xf>
    <xf numFmtId="0" fontId="52" fillId="0" borderId="20" xfId="39" applyFont="1" applyFill="1" applyBorder="1" applyAlignment="1">
      <alignment horizontal="center" vertical="center" wrapText="1"/>
      <protection/>
    </xf>
    <xf numFmtId="49" fontId="7" fillId="0" borderId="46" xfId="0" applyNumberFormat="1" applyFont="1" applyBorder="1" applyAlignment="1">
      <alignment vertical="center" wrapText="1"/>
    </xf>
    <xf numFmtId="0" fontId="0" fillId="0" borderId="47" xfId="0" applyFont="1" applyBorder="1" applyAlignment="1">
      <alignment horizontal="center" vertical="center" wrapText="1"/>
    </xf>
    <xf numFmtId="0" fontId="6" fillId="0" borderId="47" xfId="68" applyFont="1" applyBorder="1" applyAlignment="1">
      <alignment horizontal="left" vertical="center" wrapText="1"/>
      <protection/>
    </xf>
    <xf numFmtId="0" fontId="11" fillId="0" borderId="47" xfId="68" applyFont="1" applyBorder="1" applyAlignment="1">
      <alignment vertical="center" wrapText="1"/>
      <protection/>
    </xf>
    <xf numFmtId="49" fontId="7" fillId="0" borderId="48" xfId="0" applyNumberFormat="1" applyFont="1" applyBorder="1" applyAlignment="1">
      <alignment vertical="center" wrapText="1"/>
    </xf>
    <xf numFmtId="49" fontId="7" fillId="0" borderId="49" xfId="0" applyNumberFormat="1" applyFont="1" applyBorder="1" applyAlignment="1">
      <alignment vertical="center" wrapText="1"/>
    </xf>
    <xf numFmtId="49" fontId="19" fillId="3" borderId="50" xfId="0" applyNumberFormat="1" applyFont="1" applyFill="1" applyBorder="1" applyAlignment="1">
      <alignment horizontal="left" vertical="center" wrapText="1"/>
    </xf>
    <xf numFmtId="164" fontId="11" fillId="3" borderId="51" xfId="0" applyNumberFormat="1" applyFont="1" applyFill="1" applyBorder="1" applyAlignment="1">
      <alignment horizontal="center" vertical="center" wrapText="1"/>
    </xf>
    <xf numFmtId="49" fontId="7" fillId="0" borderId="52" xfId="0" applyNumberFormat="1" applyFont="1" applyBorder="1" applyAlignment="1">
      <alignment horizontal="center" vertical="center" wrapText="1"/>
    </xf>
    <xf numFmtId="164" fontId="7" fillId="0" borderId="53" xfId="0" applyNumberFormat="1" applyFont="1" applyBorder="1" applyAlignment="1">
      <alignment horizontal="center" vertical="center" wrapText="1"/>
    </xf>
    <xf numFmtId="49" fontId="7" fillId="0" borderId="54" xfId="0" applyNumberFormat="1" applyFont="1" applyBorder="1" applyAlignment="1">
      <alignment horizontal="center" vertical="center" wrapText="1"/>
    </xf>
    <xf numFmtId="164" fontId="7" fillId="0" borderId="55" xfId="0" applyNumberFormat="1" applyFont="1" applyBorder="1" applyAlignment="1">
      <alignment horizontal="center" vertical="center" wrapText="1"/>
    </xf>
    <xf numFmtId="49" fontId="7" fillId="0" borderId="56" xfId="0" applyNumberFormat="1" applyFont="1" applyBorder="1" applyAlignment="1">
      <alignment vertical="center" wrapText="1"/>
    </xf>
    <xf numFmtId="164" fontId="7" fillId="0" borderId="57" xfId="0" applyNumberFormat="1" applyFont="1" applyBorder="1" applyAlignment="1">
      <alignment vertical="center" wrapText="1"/>
    </xf>
    <xf numFmtId="49" fontId="7" fillId="0" borderId="58" xfId="0" applyNumberFormat="1" applyFont="1" applyBorder="1" applyAlignment="1">
      <alignment horizontal="left" vertical="center" wrapText="1"/>
    </xf>
    <xf numFmtId="164" fontId="7" fillId="0" borderId="59" xfId="0" applyNumberFormat="1" applyFont="1" applyBorder="1" applyAlignment="1">
      <alignment horizontal="left" vertical="center" wrapText="1"/>
    </xf>
    <xf numFmtId="49" fontId="7" fillId="0" borderId="58" xfId="0" applyNumberFormat="1" applyFont="1" applyBorder="1" applyAlignment="1">
      <alignment vertical="center" wrapText="1"/>
    </xf>
    <xf numFmtId="164" fontId="7" fillId="0" borderId="60" xfId="0" applyNumberFormat="1" applyFont="1" applyBorder="1" applyAlignment="1">
      <alignment vertical="center" wrapText="1"/>
    </xf>
    <xf numFmtId="49" fontId="7" fillId="0" borderId="61" xfId="0" applyNumberFormat="1" applyFont="1" applyBorder="1" applyAlignment="1">
      <alignment vertical="center" wrapText="1"/>
    </xf>
    <xf numFmtId="164" fontId="7" fillId="0" borderId="62" xfId="0" applyNumberFormat="1" applyFont="1" applyBorder="1" applyAlignment="1">
      <alignment vertical="center" wrapText="1"/>
    </xf>
    <xf numFmtId="49" fontId="7" fillId="0" borderId="63" xfId="0" applyNumberFormat="1" applyFont="1" applyBorder="1" applyAlignment="1">
      <alignment vertical="center" wrapText="1"/>
    </xf>
    <xf numFmtId="164" fontId="7" fillId="0" borderId="64" xfId="0" applyNumberFormat="1" applyFont="1" applyBorder="1" applyAlignment="1">
      <alignment vertical="center" wrapText="1"/>
    </xf>
    <xf numFmtId="49" fontId="7" fillId="0" borderId="58" xfId="37" applyNumberFormat="1" applyFont="1" applyBorder="1" applyAlignment="1">
      <alignment vertical="center" wrapText="1"/>
      <protection/>
    </xf>
    <xf numFmtId="164" fontId="7" fillId="0" borderId="59" xfId="37" applyNumberFormat="1" applyFont="1" applyBorder="1" applyAlignment="1">
      <alignment vertical="center" wrapText="1"/>
      <protection/>
    </xf>
    <xf numFmtId="4" fontId="7" fillId="0" borderId="59" xfId="37" applyNumberFormat="1" applyFont="1" applyBorder="1" applyAlignment="1">
      <alignment horizontal="right" vertical="center" wrapText="1" indent="1"/>
      <protection/>
    </xf>
    <xf numFmtId="49" fontId="11" fillId="0" borderId="58" xfId="37" applyNumberFormat="1" applyFont="1" applyFill="1" applyBorder="1" applyAlignment="1">
      <alignment horizontal="center" vertical="center" wrapText="1"/>
      <protection/>
    </xf>
    <xf numFmtId="4" fontId="7" fillId="0" borderId="60" xfId="37" applyNumberFormat="1" applyFont="1" applyBorder="1" applyAlignment="1">
      <alignment horizontal="right" vertical="center" wrapText="1" indent="1"/>
      <protection/>
    </xf>
    <xf numFmtId="49" fontId="0" fillId="7" borderId="50" xfId="67" applyNumberFormat="1" applyFont="1" applyFill="1" applyBorder="1" applyAlignment="1">
      <alignment horizontal="center" vertical="center"/>
      <protection/>
    </xf>
    <xf numFmtId="4" fontId="22" fillId="7" borderId="51" xfId="67" applyNumberFormat="1" applyFont="1" applyFill="1" applyBorder="1" applyAlignment="1">
      <alignment horizontal="right" vertical="center" indent="1"/>
      <protection/>
    </xf>
    <xf numFmtId="49" fontId="7" fillId="10" borderId="50" xfId="68" applyNumberFormat="1" applyFont="1" applyFill="1" applyBorder="1" applyAlignment="1">
      <alignment horizontal="center" vertical="center" wrapText="1"/>
      <protection/>
    </xf>
    <xf numFmtId="49" fontId="7" fillId="10" borderId="51" xfId="68" applyNumberFormat="1" applyFont="1" applyFill="1" applyBorder="1" applyAlignment="1">
      <alignment horizontal="right" vertical="center" wrapText="1" indent="1"/>
      <protection/>
    </xf>
    <xf numFmtId="49" fontId="11" fillId="11" borderId="65" xfId="37" applyNumberFormat="1" applyFont="1" applyFill="1" applyBorder="1" applyAlignment="1">
      <alignment horizontal="center" vertical="center" wrapText="1"/>
      <protection/>
    </xf>
    <xf numFmtId="164" fontId="7" fillId="11" borderId="66" xfId="37" applyNumberFormat="1" applyFont="1" applyFill="1" applyBorder="1" applyAlignment="1">
      <alignment horizontal="right" vertical="center" wrapText="1" indent="1"/>
      <protection/>
    </xf>
    <xf numFmtId="49" fontId="7" fillId="0" borderId="56" xfId="37" applyNumberFormat="1" applyFont="1" applyBorder="1" applyAlignment="1">
      <alignment horizontal="center" vertical="center" wrapText="1"/>
      <protection/>
    </xf>
    <xf numFmtId="4" fontId="7" fillId="0" borderId="67" xfId="37" applyNumberFormat="1" applyFont="1" applyBorder="1" applyAlignment="1">
      <alignment horizontal="right" vertical="center" wrapText="1" indent="1"/>
      <protection/>
    </xf>
    <xf numFmtId="49" fontId="7" fillId="0" borderId="58" xfId="39" applyNumberFormat="1" applyFont="1" applyFill="1" applyBorder="1" applyAlignment="1">
      <alignment horizontal="center" vertical="center" wrapText="1"/>
      <protection/>
    </xf>
    <xf numFmtId="4" fontId="7" fillId="0" borderId="60" xfId="39" applyNumberFormat="1" applyFont="1" applyFill="1" applyBorder="1" applyAlignment="1">
      <alignment horizontal="right" vertical="center" wrapText="1" indent="1"/>
      <protection/>
    </xf>
    <xf numFmtId="49" fontId="7" fillId="0" borderId="61" xfId="37" applyNumberFormat="1" applyFont="1" applyBorder="1" applyAlignment="1">
      <alignment horizontal="center" vertical="center" wrapText="1"/>
      <protection/>
    </xf>
    <xf numFmtId="4" fontId="7" fillId="0" borderId="62" xfId="37" applyNumberFormat="1" applyFont="1" applyBorder="1" applyAlignment="1">
      <alignment horizontal="right" vertical="center" wrapText="1" indent="1"/>
      <protection/>
    </xf>
    <xf numFmtId="49" fontId="7" fillId="0" borderId="50" xfId="37" applyNumberFormat="1" applyFont="1" applyBorder="1" applyAlignment="1">
      <alignment horizontal="center" vertical="center" wrapText="1"/>
      <protection/>
    </xf>
    <xf numFmtId="4" fontId="35" fillId="0" borderId="51" xfId="37" applyNumberFormat="1" applyFont="1" applyBorder="1" applyAlignment="1">
      <alignment horizontal="right" vertical="center" wrapText="1" indent="1"/>
      <protection/>
    </xf>
    <xf numFmtId="49" fontId="7" fillId="0" borderId="61" xfId="39" applyNumberFormat="1" applyFont="1" applyFill="1" applyBorder="1" applyAlignment="1">
      <alignment horizontal="center" vertical="center" wrapText="1"/>
      <protection/>
    </xf>
    <xf numFmtId="4" fontId="7" fillId="0" borderId="62" xfId="39" applyNumberFormat="1" applyFont="1" applyFill="1" applyBorder="1" applyAlignment="1">
      <alignment horizontal="right" vertical="center" wrapText="1" indent="1"/>
      <protection/>
    </xf>
    <xf numFmtId="49" fontId="7" fillId="0" borderId="61" xfId="37" applyNumberFormat="1" applyFont="1" applyFill="1" applyBorder="1" applyAlignment="1">
      <alignment horizontal="center" vertical="center" wrapText="1"/>
      <protection/>
    </xf>
    <xf numFmtId="4" fontId="7" fillId="0" borderId="62" xfId="37" applyNumberFormat="1" applyFont="1" applyFill="1" applyBorder="1" applyAlignment="1">
      <alignment horizontal="right" vertical="center" wrapText="1" indent="1"/>
      <protection/>
    </xf>
    <xf numFmtId="49" fontId="7" fillId="0" borderId="58" xfId="37" applyNumberFormat="1" applyFont="1" applyBorder="1" applyAlignment="1">
      <alignment horizontal="center" vertical="center" wrapText="1"/>
      <protection/>
    </xf>
    <xf numFmtId="4" fontId="7" fillId="0" borderId="68" xfId="37" applyNumberFormat="1" applyFont="1" applyBorder="1" applyAlignment="1">
      <alignment horizontal="right" vertical="center" wrapText="1" indent="1"/>
      <protection/>
    </xf>
    <xf numFmtId="49" fontId="7" fillId="0" borderId="63" xfId="37" applyNumberFormat="1" applyFont="1" applyBorder="1" applyAlignment="1">
      <alignment horizontal="center" vertical="center" wrapText="1"/>
      <protection/>
    </xf>
    <xf numFmtId="4" fontId="7" fillId="0" borderId="60" xfId="37" applyNumberFormat="1" applyFont="1" applyBorder="1" applyAlignment="1">
      <alignment horizontal="right" vertical="center" wrapText="1" indent="1"/>
      <protection/>
    </xf>
    <xf numFmtId="0" fontId="40" fillId="7" borderId="69" xfId="65" applyFont="1" applyFill="1" applyBorder="1" applyAlignment="1">
      <alignment horizontal="right" vertical="center" indent="1"/>
      <protection/>
    </xf>
    <xf numFmtId="0" fontId="40" fillId="7" borderId="70" xfId="65" applyFont="1" applyFill="1" applyBorder="1" applyAlignment="1">
      <alignment horizontal="center" vertical="center"/>
      <protection/>
    </xf>
    <xf numFmtId="0" fontId="41" fillId="7" borderId="70" xfId="65" applyFont="1" applyFill="1" applyBorder="1" applyAlignment="1">
      <alignment vertical="center"/>
      <protection/>
    </xf>
    <xf numFmtId="0" fontId="40" fillId="7" borderId="70" xfId="65" applyFont="1" applyFill="1" applyBorder="1" applyAlignment="1">
      <alignment horizontal="right" vertical="center" indent="1"/>
      <protection/>
    </xf>
    <xf numFmtId="4" fontId="41" fillId="7" borderId="71" xfId="65" applyNumberFormat="1" applyFont="1" applyFill="1" applyBorder="1" applyAlignment="1">
      <alignment horizontal="right" vertical="center" indent="1"/>
      <protection/>
    </xf>
    <xf numFmtId="49" fontId="7" fillId="0" borderId="58" xfId="37" applyNumberFormat="1" applyFont="1" applyFill="1" applyBorder="1" applyAlignment="1">
      <alignment horizontal="center" vertical="center" wrapText="1"/>
      <protection/>
    </xf>
    <xf numFmtId="4" fontId="7" fillId="0" borderId="60" xfId="37" applyNumberFormat="1" applyFont="1" applyFill="1" applyBorder="1" applyAlignment="1">
      <alignment horizontal="right" vertical="center" wrapText="1" indent="1"/>
      <protection/>
    </xf>
    <xf numFmtId="0" fontId="11" fillId="0" borderId="58" xfId="37" applyNumberFormat="1" applyFont="1" applyFill="1" applyBorder="1" applyAlignment="1">
      <alignment horizontal="center" vertical="center" wrapText="1"/>
      <protection/>
    </xf>
    <xf numFmtId="4" fontId="7" fillId="0" borderId="60" xfId="37" applyNumberFormat="1" applyFont="1" applyFill="1" applyBorder="1" applyAlignment="1">
      <alignment horizontal="right" vertical="center" wrapText="1" indent="1"/>
      <protection/>
    </xf>
    <xf numFmtId="49" fontId="7" fillId="0" borderId="16" xfId="37" applyNumberFormat="1" applyFont="1" applyBorder="1" applyAlignment="1">
      <alignment horizontal="center" vertical="center" wrapText="1"/>
      <protection/>
    </xf>
    <xf numFmtId="4" fontId="7" fillId="0" borderId="18" xfId="37" applyNumberFormat="1" applyFont="1" applyBorder="1" applyAlignment="1">
      <alignment horizontal="right" vertical="center" wrapText="1" indent="1"/>
      <protection/>
    </xf>
    <xf numFmtId="4" fontId="44" fillId="0" borderId="20" xfId="0" applyNumberFormat="1" applyFont="1" applyFill="1" applyBorder="1" applyAlignment="1">
      <alignment horizontal="right" vertical="center" wrapText="1"/>
    </xf>
    <xf numFmtId="4" fontId="44" fillId="0" borderId="21" xfId="37" applyNumberFormat="1" applyFont="1" applyFill="1" applyBorder="1" applyAlignment="1">
      <alignment horizontal="right" vertical="center" wrapText="1"/>
      <protection/>
    </xf>
    <xf numFmtId="0" fontId="46"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0" fontId="12" fillId="0" borderId="0" xfId="0" applyFont="1" applyFill="1" applyAlignment="1">
      <alignment vertical="center"/>
    </xf>
    <xf numFmtId="0" fontId="17" fillId="12" borderId="0" xfId="0" applyFont="1" applyFill="1" applyAlignment="1">
      <alignment vertical="center"/>
    </xf>
    <xf numFmtId="0" fontId="0" fillId="12" borderId="0" xfId="0" applyFill="1" applyAlignment="1">
      <alignment vertical="center"/>
    </xf>
    <xf numFmtId="49" fontId="11" fillId="0" borderId="16" xfId="37" applyNumberFormat="1" applyFont="1" applyFill="1" applyBorder="1" applyAlignment="1">
      <alignment horizontal="center" vertical="center" wrapText="1"/>
      <protection/>
    </xf>
    <xf numFmtId="0" fontId="11" fillId="0" borderId="17" xfId="37" applyFont="1" applyFill="1" applyBorder="1" applyAlignment="1">
      <alignment vertical="center" wrapText="1"/>
      <protection/>
    </xf>
    <xf numFmtId="0" fontId="12" fillId="0" borderId="0" xfId="0" applyFont="1" applyAlignment="1">
      <alignment vertical="center"/>
    </xf>
    <xf numFmtId="4" fontId="7" fillId="0" borderId="17" xfId="37" applyNumberFormat="1" applyFont="1" applyBorder="1" applyAlignment="1">
      <alignment horizontal="right" vertical="center" wrapText="1"/>
      <protection/>
    </xf>
    <xf numFmtId="4" fontId="7" fillId="0" borderId="17" xfId="37" applyNumberFormat="1" applyFont="1" applyFill="1" applyBorder="1" applyAlignment="1">
      <alignment horizontal="right" vertical="center" wrapText="1"/>
      <protection/>
    </xf>
    <xf numFmtId="4" fontId="7" fillId="0" borderId="18" xfId="37" applyNumberFormat="1" applyFont="1" applyBorder="1" applyAlignment="1">
      <alignment horizontal="right" vertical="center" wrapText="1"/>
      <protection/>
    </xf>
    <xf numFmtId="4" fontId="7" fillId="0" borderId="20" xfId="0" applyNumberFormat="1" applyFont="1" applyFill="1" applyBorder="1" applyAlignment="1">
      <alignment horizontal="right" vertical="center" indent="1"/>
    </xf>
    <xf numFmtId="4" fontId="7" fillId="0" borderId="21" xfId="37" applyNumberFormat="1" applyFont="1" applyFill="1" applyBorder="1" applyAlignment="1">
      <alignment horizontal="right" vertical="center" indent="1"/>
      <protection/>
    </xf>
    <xf numFmtId="49" fontId="7" fillId="0" borderId="19" xfId="37" applyNumberFormat="1" applyFont="1" applyFill="1" applyBorder="1" applyAlignment="1">
      <alignment horizontal="center" vertical="center" wrapText="1"/>
      <protection/>
    </xf>
    <xf numFmtId="49" fontId="53" fillId="0" borderId="19" xfId="37" applyNumberFormat="1" applyFont="1" applyFill="1" applyBorder="1" applyAlignment="1">
      <alignment horizontal="center" vertical="center" wrapText="1"/>
      <protection/>
    </xf>
    <xf numFmtId="165" fontId="57" fillId="0" borderId="0" xfId="0" applyNumberFormat="1" applyFont="1" applyFill="1" applyBorder="1" applyAlignment="1">
      <alignment vertical="center"/>
    </xf>
    <xf numFmtId="165" fontId="55" fillId="0" borderId="0" xfId="0" applyNumberFormat="1" applyFont="1" applyFill="1" applyBorder="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5" fillId="0" borderId="0" xfId="0" applyFont="1" applyFill="1" applyAlignment="1">
      <alignment vertical="center"/>
    </xf>
    <xf numFmtId="0" fontId="7" fillId="0" borderId="20" xfId="37" applyFont="1" applyFill="1" applyBorder="1" applyAlignment="1">
      <alignment horizontal="center" vertical="center" wrapText="1"/>
      <protection/>
    </xf>
    <xf numFmtId="0" fontId="7" fillId="0" borderId="20" xfId="0" applyFont="1" applyFill="1" applyBorder="1" applyAlignment="1">
      <alignment vertical="center" wrapText="1"/>
    </xf>
    <xf numFmtId="2" fontId="7" fillId="0" borderId="20" xfId="0" applyNumberFormat="1"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9" fontId="53" fillId="0" borderId="16" xfId="37" applyNumberFormat="1" applyFont="1" applyFill="1" applyBorder="1" applyAlignment="1">
      <alignment horizontal="center" vertical="center" wrapText="1"/>
      <protection/>
    </xf>
    <xf numFmtId="49" fontId="11" fillId="0" borderId="16" xfId="37" applyNumberFormat="1" applyFont="1" applyBorder="1" applyAlignment="1">
      <alignment horizontal="center" vertical="center" wrapText="1"/>
      <protection/>
    </xf>
    <xf numFmtId="0" fontId="11" fillId="0" borderId="17" xfId="37" applyFont="1" applyBorder="1" applyAlignment="1">
      <alignment horizontal="center" vertical="center" wrapText="1"/>
      <protection/>
    </xf>
    <xf numFmtId="4" fontId="11" fillId="0" borderId="17" xfId="37" applyNumberFormat="1" applyFont="1" applyBorder="1" applyAlignment="1">
      <alignment horizontal="right" vertical="center" wrapText="1" indent="1"/>
      <protection/>
    </xf>
    <xf numFmtId="4" fontId="11" fillId="0" borderId="17" xfId="37" applyNumberFormat="1" applyFont="1" applyFill="1" applyBorder="1" applyAlignment="1">
      <alignment horizontal="right" vertical="center" wrapText="1" indent="1"/>
      <protection/>
    </xf>
    <xf numFmtId="4" fontId="11" fillId="0" borderId="18" xfId="37" applyNumberFormat="1" applyFont="1" applyBorder="1" applyAlignment="1">
      <alignment horizontal="right" vertical="center" wrapText="1" indent="1"/>
      <protection/>
    </xf>
    <xf numFmtId="4" fontId="31" fillId="0" borderId="17" xfId="37" applyNumberFormat="1" applyFont="1" applyBorder="1" applyAlignment="1">
      <alignment horizontal="right" vertical="center" wrapText="1" indent="1"/>
      <protection/>
    </xf>
    <xf numFmtId="4" fontId="31" fillId="0" borderId="17" xfId="37" applyNumberFormat="1" applyFont="1" applyFill="1" applyBorder="1" applyAlignment="1">
      <alignment horizontal="right" vertical="center" wrapText="1" indent="1"/>
      <protection/>
    </xf>
    <xf numFmtId="4" fontId="31" fillId="0" borderId="18" xfId="37" applyNumberFormat="1" applyFont="1" applyBorder="1" applyAlignment="1">
      <alignment horizontal="right" vertical="center" wrapText="1" indent="1"/>
      <protection/>
    </xf>
    <xf numFmtId="165" fontId="37" fillId="0" borderId="0" xfId="38" applyNumberFormat="1" applyFont="1" applyAlignment="1">
      <alignment vertical="center"/>
      <protection/>
    </xf>
    <xf numFmtId="0" fontId="25" fillId="0" borderId="0" xfId="38" applyFont="1" applyAlignment="1">
      <alignment vertical="center"/>
      <protection/>
    </xf>
    <xf numFmtId="0" fontId="11" fillId="0" borderId="17" xfId="37" applyFont="1" applyFill="1" applyBorder="1" applyAlignment="1">
      <alignment horizontal="center" wrapText="1"/>
      <protection/>
    </xf>
    <xf numFmtId="0" fontId="7" fillId="0" borderId="72" xfId="37" applyFont="1" applyFill="1" applyBorder="1" applyAlignment="1">
      <alignment horizontal="center" vertical="center" wrapText="1"/>
      <protection/>
    </xf>
    <xf numFmtId="4" fontId="7" fillId="0" borderId="72" xfId="37" applyNumberFormat="1" applyFont="1" applyFill="1" applyBorder="1" applyAlignment="1">
      <alignment horizontal="right" vertical="center" wrapText="1" indent="1"/>
      <protection/>
    </xf>
    <xf numFmtId="165" fontId="54" fillId="0" borderId="0" xfId="0" applyNumberFormat="1" applyFont="1" applyFill="1" applyAlignment="1">
      <alignment vertical="center"/>
    </xf>
    <xf numFmtId="4" fontId="53" fillId="0" borderId="17" xfId="37" applyNumberFormat="1" applyFont="1" applyFill="1" applyBorder="1" applyAlignment="1">
      <alignment horizontal="right" vertical="center" wrapText="1" indent="1"/>
      <protection/>
    </xf>
    <xf numFmtId="0" fontId="50" fillId="0" borderId="0" xfId="0" applyFont="1" applyAlignment="1">
      <alignment vertical="center"/>
    </xf>
    <xf numFmtId="0" fontId="7" fillId="0" borderId="17" xfId="37" applyFont="1" applyFill="1" applyBorder="1" applyAlignment="1">
      <alignment horizontal="center" wrapText="1"/>
      <protection/>
    </xf>
    <xf numFmtId="4" fontId="7" fillId="0" borderId="17" xfId="37" applyNumberFormat="1" applyFont="1" applyFill="1" applyBorder="1" applyAlignment="1">
      <alignment horizontal="right" vertical="center" wrapText="1" indent="1"/>
      <protection/>
    </xf>
    <xf numFmtId="0" fontId="7" fillId="0" borderId="72" xfId="37" applyFont="1" applyFill="1" applyBorder="1" applyAlignment="1">
      <alignment horizontal="center" vertical="center" wrapText="1"/>
      <protection/>
    </xf>
    <xf numFmtId="4" fontId="7" fillId="0" borderId="72" xfId="0" applyNumberFormat="1" applyFont="1" applyFill="1" applyBorder="1" applyAlignment="1">
      <alignment horizontal="right" vertical="center" wrapText="1" indent="1"/>
    </xf>
    <xf numFmtId="165" fontId="0" fillId="0" borderId="0" xfId="0" applyNumberFormat="1" applyFont="1" applyFill="1" applyAlignment="1">
      <alignment vertical="center"/>
    </xf>
    <xf numFmtId="165" fontId="56" fillId="0" borderId="0" xfId="0" applyNumberFormat="1" applyFont="1" applyFill="1" applyAlignment="1">
      <alignment vertical="center"/>
    </xf>
    <xf numFmtId="165" fontId="54" fillId="0" borderId="0" xfId="38" applyNumberFormat="1" applyFont="1" applyAlignment="1">
      <alignment vertical="center"/>
      <protection/>
    </xf>
    <xf numFmtId="49" fontId="12" fillId="0" borderId="19" xfId="0" applyNumberFormat="1" applyFont="1" applyFill="1" applyBorder="1" applyAlignment="1">
      <alignment horizontal="center" vertical="center"/>
    </xf>
    <xf numFmtId="0" fontId="0" fillId="0" borderId="20" xfId="0" applyFont="1" applyFill="1" applyBorder="1" applyAlignment="1">
      <alignment vertical="center" wrapText="1"/>
    </xf>
    <xf numFmtId="4" fontId="0" fillId="0" borderId="20" xfId="0" applyNumberFormat="1" applyFont="1" applyFill="1" applyBorder="1" applyAlignment="1">
      <alignment horizontal="center" vertical="center"/>
    </xf>
    <xf numFmtId="4" fontId="0" fillId="0" borderId="21" xfId="0" applyNumberFormat="1" applyFont="1" applyFill="1" applyBorder="1" applyAlignment="1">
      <alignment horizontal="right" vertical="center" indent="1"/>
    </xf>
    <xf numFmtId="0" fontId="0" fillId="0" borderId="20" xfId="0" applyFont="1" applyFill="1" applyBorder="1" applyAlignment="1">
      <alignment horizontal="center" vertical="center"/>
    </xf>
    <xf numFmtId="0" fontId="50" fillId="0" borderId="0" xfId="0" applyFont="1" applyFill="1" applyAlignment="1">
      <alignment horizontal="justify" vertical="center"/>
    </xf>
    <xf numFmtId="0" fontId="53" fillId="0" borderId="20" xfId="39" applyFont="1" applyFill="1" applyBorder="1" applyAlignment="1" applyProtection="1">
      <alignment vertical="center" wrapText="1"/>
      <protection hidden="1"/>
    </xf>
    <xf numFmtId="4" fontId="53" fillId="0" borderId="20" xfId="39" applyNumberFormat="1" applyFont="1" applyFill="1" applyBorder="1" applyAlignment="1" applyProtection="1">
      <alignment horizontal="center" vertical="center" wrapText="1"/>
      <protection hidden="1"/>
    </xf>
    <xf numFmtId="49" fontId="7" fillId="0" borderId="61" xfId="39" applyNumberFormat="1" applyFont="1" applyFill="1" applyBorder="1" applyAlignment="1">
      <alignment horizontal="center" vertical="center" wrapText="1"/>
      <protection/>
    </xf>
    <xf numFmtId="0" fontId="7" fillId="0" borderId="37" xfId="39" applyFont="1" applyFill="1" applyBorder="1" applyAlignment="1">
      <alignment wrapText="1"/>
      <protection/>
    </xf>
    <xf numFmtId="4" fontId="7" fillId="0" borderId="37" xfId="39" applyNumberFormat="1" applyFont="1" applyFill="1" applyBorder="1" applyAlignment="1" applyProtection="1">
      <alignment horizontal="right" vertical="center" indent="1"/>
      <protection hidden="1"/>
    </xf>
    <xf numFmtId="4" fontId="7" fillId="0" borderId="62" xfId="39" applyNumberFormat="1" applyFont="1" applyFill="1" applyBorder="1" applyAlignment="1">
      <alignment horizontal="right" vertical="center" wrapText="1" indent="1"/>
      <protection/>
    </xf>
    <xf numFmtId="49" fontId="7" fillId="0" borderId="73" xfId="39" applyNumberFormat="1" applyFont="1" applyFill="1" applyBorder="1" applyAlignment="1">
      <alignment horizontal="center" vertical="center" wrapText="1"/>
      <protection/>
    </xf>
    <xf numFmtId="0" fontId="7" fillId="0" borderId="74" xfId="39" applyFont="1" applyFill="1" applyBorder="1" applyAlignment="1">
      <alignment wrapText="1"/>
      <protection/>
    </xf>
    <xf numFmtId="4" fontId="7" fillId="0" borderId="74" xfId="39" applyNumberFormat="1" applyFont="1" applyFill="1" applyBorder="1" applyAlignment="1" applyProtection="1">
      <alignment horizontal="right" vertical="center" indent="1"/>
      <protection hidden="1"/>
    </xf>
    <xf numFmtId="4" fontId="7" fillId="0" borderId="75" xfId="39" applyNumberFormat="1" applyFont="1" applyFill="1" applyBorder="1" applyAlignment="1">
      <alignment horizontal="right" vertical="center" wrapText="1" indent="1"/>
      <protection/>
    </xf>
    <xf numFmtId="0" fontId="7" fillId="0" borderId="76" xfId="39" applyFont="1" applyFill="1" applyBorder="1" applyAlignment="1">
      <alignment wrapText="1"/>
      <protection/>
    </xf>
    <xf numFmtId="4" fontId="7" fillId="0" borderId="76" xfId="39" applyNumberFormat="1" applyFont="1" applyFill="1" applyBorder="1" applyAlignment="1" applyProtection="1">
      <alignment horizontal="right" vertical="center" indent="1"/>
      <protection hidden="1"/>
    </xf>
    <xf numFmtId="4" fontId="7" fillId="0" borderId="77" xfId="39" applyNumberFormat="1" applyFont="1" applyFill="1" applyBorder="1" applyAlignment="1">
      <alignment horizontal="right" vertical="center" wrapText="1" indent="1"/>
      <protection/>
    </xf>
    <xf numFmtId="49" fontId="7" fillId="0" borderId="63" xfId="37" applyNumberFormat="1" applyFont="1" applyFill="1" applyBorder="1" applyAlignment="1">
      <alignment horizontal="center" vertical="center" wrapText="1"/>
      <protection/>
    </xf>
    <xf numFmtId="0" fontId="7" fillId="0" borderId="37" xfId="39" applyFont="1" applyFill="1" applyBorder="1" applyAlignment="1" applyProtection="1">
      <alignment vertical="center" wrapText="1"/>
      <protection hidden="1"/>
    </xf>
    <xf numFmtId="0" fontId="7" fillId="0" borderId="37" xfId="39" applyFont="1" applyFill="1" applyBorder="1" applyAlignment="1" applyProtection="1">
      <alignment horizontal="center" vertical="center" wrapText="1"/>
      <protection hidden="1"/>
    </xf>
    <xf numFmtId="0" fontId="7" fillId="0" borderId="74" xfId="39" applyFont="1" applyFill="1" applyBorder="1" applyAlignment="1" applyProtection="1">
      <alignment vertical="center" wrapText="1"/>
      <protection hidden="1"/>
    </xf>
    <xf numFmtId="0" fontId="7" fillId="0" borderId="74" xfId="39" applyFont="1" applyFill="1" applyBorder="1" applyAlignment="1" applyProtection="1">
      <alignment horizontal="center" vertical="center" wrapText="1"/>
      <protection hidden="1"/>
    </xf>
    <xf numFmtId="0" fontId="7" fillId="0" borderId="74" xfId="0" applyFont="1" applyFill="1" applyBorder="1" applyAlignment="1">
      <alignment horizontal="center" vertical="center" wrapText="1"/>
    </xf>
    <xf numFmtId="0" fontId="7" fillId="0" borderId="74" xfId="0" applyFont="1" applyFill="1" applyBorder="1" applyAlignment="1">
      <alignment vertical="center" wrapText="1"/>
    </xf>
    <xf numFmtId="4" fontId="7" fillId="0" borderId="74" xfId="0" applyNumberFormat="1" applyFont="1" applyFill="1" applyBorder="1" applyAlignment="1">
      <alignment vertical="center" wrapText="1"/>
    </xf>
    <xf numFmtId="164" fontId="7" fillId="0" borderId="74" xfId="0" applyNumberFormat="1" applyFont="1" applyFill="1" applyBorder="1" applyAlignment="1">
      <alignment vertical="center" wrapText="1"/>
    </xf>
    <xf numFmtId="164" fontId="7" fillId="0" borderId="75" xfId="0" applyNumberFormat="1" applyFont="1" applyFill="1" applyBorder="1" applyAlignment="1">
      <alignment vertical="center" wrapText="1"/>
    </xf>
    <xf numFmtId="0" fontId="7" fillId="0" borderId="76" xfId="39" applyFont="1" applyFill="1" applyBorder="1" applyAlignment="1" applyProtection="1">
      <alignment vertical="center" wrapText="1"/>
      <protection hidden="1"/>
    </xf>
    <xf numFmtId="0" fontId="7" fillId="0" borderId="76" xfId="39" applyFont="1" applyFill="1" applyBorder="1" applyAlignment="1" applyProtection="1">
      <alignment horizontal="center" vertical="center" wrapText="1"/>
      <protection hidden="1"/>
    </xf>
    <xf numFmtId="0" fontId="7" fillId="0" borderId="20" xfId="70" applyFont="1" applyFill="1" applyBorder="1" applyAlignment="1" applyProtection="1">
      <alignment wrapText="1"/>
      <protection locked="0"/>
    </xf>
    <xf numFmtId="0" fontId="11" fillId="0" borderId="20" xfId="32" applyFont="1" applyFill="1" applyBorder="1">
      <alignment/>
      <protection/>
    </xf>
    <xf numFmtId="49" fontId="36" fillId="0" borderId="78" xfId="69" applyNumberFormat="1" applyFont="1" applyFill="1" applyBorder="1" applyAlignment="1">
      <alignment horizontal="center" vertical="center"/>
      <protection/>
    </xf>
    <xf numFmtId="0" fontId="34" fillId="0" borderId="34" xfId="69" applyNumberFormat="1" applyFont="1" applyFill="1" applyBorder="1" applyAlignment="1" applyProtection="1">
      <alignment vertical="center" wrapText="1"/>
      <protection hidden="1"/>
    </xf>
    <xf numFmtId="4" fontId="7" fillId="0" borderId="37" xfId="58" applyNumberFormat="1" applyFont="1" applyFill="1" applyBorder="1" applyAlignment="1">
      <alignment horizontal="right" vertical="center" indent="1"/>
      <protection/>
    </xf>
    <xf numFmtId="4" fontId="34" fillId="0" borderId="37" xfId="69" applyNumberFormat="1" applyFont="1" applyFill="1" applyBorder="1" applyAlignment="1" applyProtection="1">
      <alignment horizontal="right" vertical="center" indent="1"/>
      <protection locked="0"/>
    </xf>
    <xf numFmtId="49" fontId="7" fillId="0" borderId="11" xfId="37" applyNumberFormat="1" applyFont="1" applyBorder="1" applyAlignment="1">
      <alignment horizontal="center" vertical="center" wrapText="1"/>
      <protection/>
    </xf>
    <xf numFmtId="0" fontId="7" fillId="0" borderId="20" xfId="37" applyFont="1" applyFill="1" applyBorder="1" applyAlignment="1">
      <alignment horizontal="center" vertical="center" wrapText="1"/>
      <protection/>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0" fontId="7" fillId="0" borderId="20" xfId="0" applyFont="1" applyFill="1" applyBorder="1" applyAlignment="1">
      <alignmen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 fontId="7" fillId="0" borderId="21" xfId="37" applyNumberFormat="1" applyFont="1" applyFill="1" applyBorder="1" applyAlignment="1">
      <alignment horizontal="right" vertical="center" indent="1"/>
      <protection/>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165" fontId="54" fillId="0" borderId="0" xfId="0" applyNumberFormat="1" applyFont="1" applyFill="1" applyBorder="1" applyAlignment="1">
      <alignment vertical="center"/>
    </xf>
    <xf numFmtId="0" fontId="7" fillId="0" borderId="20" xfId="37" applyFont="1" applyFill="1" applyBorder="1" applyAlignment="1">
      <alignment horizontal="center" vertical="center" wrapText="1"/>
      <protection/>
    </xf>
    <xf numFmtId="0" fontId="7" fillId="0" borderId="20" xfId="68" applyFont="1" applyFill="1" applyBorder="1" applyAlignment="1" applyProtection="1">
      <alignment horizontal="left" vertical="center" wrapText="1"/>
      <protection/>
    </xf>
    <xf numFmtId="4" fontId="7" fillId="0" borderId="20" xfId="37" applyNumberFormat="1" applyFont="1" applyFill="1" applyBorder="1" applyAlignment="1">
      <alignment horizontal="right" vertical="center" wrapText="1" indent="1"/>
      <protection/>
    </xf>
    <xf numFmtId="4" fontId="7" fillId="0" borderId="21" xfId="37" applyNumberFormat="1" applyFont="1" applyFill="1" applyBorder="1" applyAlignment="1">
      <alignment horizontal="right" vertical="center" wrapText="1" indent="1"/>
      <protection/>
    </xf>
    <xf numFmtId="0" fontId="53" fillId="0" borderId="20" xfId="0" applyFont="1" applyFill="1" applyBorder="1" applyAlignment="1">
      <alignment vertical="center" wrapText="1"/>
    </xf>
    <xf numFmtId="4" fontId="53" fillId="0" borderId="20" xfId="0" applyNumberFormat="1" applyFont="1" applyFill="1" applyBorder="1" applyAlignment="1">
      <alignment horizontal="right" vertical="center" indent="1"/>
    </xf>
    <xf numFmtId="4" fontId="53" fillId="0" borderId="21" xfId="37" applyNumberFormat="1" applyFont="1" applyFill="1" applyBorder="1" applyAlignment="1">
      <alignment horizontal="right" vertical="center" indent="1"/>
      <protection/>
    </xf>
    <xf numFmtId="0" fontId="53" fillId="0" borderId="20" xfId="37" applyFont="1" applyFill="1" applyBorder="1" applyAlignment="1">
      <alignment horizontal="center" vertical="center" wrapText="1"/>
      <protection/>
    </xf>
    <xf numFmtId="0" fontId="53" fillId="0" borderId="20" xfId="37" applyFont="1" applyFill="1" applyBorder="1" applyAlignment="1">
      <alignment horizontal="center" vertical="center" wrapText="1"/>
      <protection/>
    </xf>
    <xf numFmtId="49" fontId="53" fillId="0" borderId="16" xfId="37" applyNumberFormat="1" applyFont="1" applyFill="1" applyBorder="1" applyAlignment="1">
      <alignment horizontal="center" vertical="center" wrapText="1"/>
      <protection/>
    </xf>
    <xf numFmtId="4" fontId="53" fillId="0" borderId="20" xfId="0" applyNumberFormat="1" applyFont="1" applyFill="1" applyBorder="1" applyAlignment="1">
      <alignment horizontal="left" vertical="center" wrapText="1"/>
    </xf>
    <xf numFmtId="4" fontId="53" fillId="0" borderId="20" xfId="0" applyNumberFormat="1" applyFont="1" applyFill="1" applyBorder="1" applyAlignment="1">
      <alignment horizontal="right" vertical="center" wrapText="1" indent="1"/>
    </xf>
    <xf numFmtId="0" fontId="53" fillId="0" borderId="17" xfId="37" applyFont="1" applyFill="1" applyBorder="1" applyAlignment="1">
      <alignment horizontal="center" vertical="center" wrapText="1"/>
      <protection/>
    </xf>
    <xf numFmtId="0" fontId="53" fillId="0" borderId="17" xfId="37" applyFont="1" applyFill="1" applyBorder="1" applyAlignment="1">
      <alignment vertical="center" wrapText="1"/>
      <protection/>
    </xf>
    <xf numFmtId="4" fontId="53" fillId="0" borderId="20" xfId="0" applyNumberFormat="1" applyFont="1" applyFill="1" applyBorder="1" applyAlignment="1">
      <alignment horizontal="right" vertical="center" indent="1"/>
    </xf>
    <xf numFmtId="4" fontId="53" fillId="0" borderId="18" xfId="37" applyNumberFormat="1" applyFont="1" applyFill="1" applyBorder="1" applyAlignment="1">
      <alignment horizontal="right" vertical="center" wrapText="1"/>
      <protection/>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vertical="center" wrapText="1"/>
      <protection/>
    </xf>
    <xf numFmtId="4" fontId="7" fillId="0" borderId="21" xfId="37" applyNumberFormat="1" applyFont="1" applyFill="1" applyBorder="1" applyAlignment="1">
      <alignment horizontal="right" vertical="center" wrapText="1"/>
      <protection/>
    </xf>
    <xf numFmtId="49" fontId="11" fillId="0" borderId="19" xfId="37" applyNumberFormat="1" applyFont="1" applyFill="1" applyBorder="1" applyAlignment="1">
      <alignment horizontal="center" vertical="center" wrapText="1"/>
      <protection/>
    </xf>
    <xf numFmtId="0" fontId="7" fillId="0" borderId="20" xfId="37" applyNumberFormat="1" applyFont="1" applyFill="1" applyBorder="1" applyAlignment="1">
      <alignment horizontal="center" vertical="center" wrapText="1"/>
      <protection/>
    </xf>
    <xf numFmtId="0"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horizontal="center" vertical="center" wrapText="1"/>
      <protection/>
    </xf>
    <xf numFmtId="4"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horizontal="right" vertical="center" wrapText="1"/>
      <protection/>
    </xf>
    <xf numFmtId="4" fontId="7" fillId="0" borderId="21" xfId="37" applyNumberFormat="1" applyFont="1" applyBorder="1" applyAlignment="1">
      <alignment horizontal="right" vertical="center" indent="1"/>
      <protection/>
    </xf>
    <xf numFmtId="0" fontId="7" fillId="0" borderId="20" xfId="37" applyFont="1" applyFill="1" applyBorder="1" applyAlignment="1">
      <alignment vertical="center" wrapText="1"/>
      <protection/>
    </xf>
    <xf numFmtId="165" fontId="17" fillId="0" borderId="0" xfId="0" applyNumberFormat="1" applyFont="1" applyFill="1" applyBorder="1" applyAlignment="1">
      <alignment vertical="center" wrapText="1"/>
    </xf>
    <xf numFmtId="165" fontId="54"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165" fontId="58" fillId="0" borderId="0" xfId="0" applyNumberFormat="1" applyFont="1" applyFill="1" applyBorder="1" applyAlignment="1">
      <alignment vertical="center"/>
    </xf>
    <xf numFmtId="0" fontId="27" fillId="0" borderId="20" xfId="37" applyFont="1" applyFill="1" applyBorder="1" applyAlignment="1">
      <alignment horizontal="center" vertical="center" wrapText="1"/>
      <protection/>
    </xf>
    <xf numFmtId="0" fontId="27" fillId="0" borderId="20" xfId="0" applyFont="1" applyFill="1" applyBorder="1" applyAlignment="1">
      <alignment vertical="center" wrapText="1"/>
    </xf>
    <xf numFmtId="2" fontId="27" fillId="0" borderId="20" xfId="0" applyNumberFormat="1" applyFont="1" applyFill="1" applyBorder="1" applyAlignment="1">
      <alignment horizontal="center" vertical="center" wrapText="1"/>
    </xf>
    <xf numFmtId="4" fontId="27" fillId="0" borderId="20" xfId="0" applyNumberFormat="1" applyFont="1" applyFill="1" applyBorder="1" applyAlignment="1">
      <alignment horizontal="right" vertical="center" wrapText="1"/>
    </xf>
    <xf numFmtId="4" fontId="27" fillId="0" borderId="21" xfId="37" applyNumberFormat="1" applyFont="1" applyFill="1" applyBorder="1" applyAlignment="1">
      <alignment horizontal="right"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2" fontId="7" fillId="0" borderId="20" xfId="0" applyNumberFormat="1" applyFont="1" applyFill="1" applyBorder="1" applyAlignment="1">
      <alignment horizontal="center" vertical="center" wrapText="1"/>
    </xf>
    <xf numFmtId="49" fontId="7" fillId="0" borderId="19" xfId="37" applyNumberFormat="1" applyFont="1" applyFill="1" applyBorder="1" applyAlignment="1">
      <alignment horizontal="center" vertical="center" wrapText="1"/>
      <protection/>
    </xf>
    <xf numFmtId="0" fontId="27" fillId="0" borderId="20" xfId="38" applyFont="1" applyFill="1" applyBorder="1" applyAlignment="1">
      <alignment vertical="center" wrapText="1"/>
      <protection/>
    </xf>
    <xf numFmtId="2" fontId="27" fillId="0" borderId="20" xfId="38" applyNumberFormat="1" applyFont="1" applyFill="1" applyBorder="1" applyAlignment="1">
      <alignment horizontal="center" vertical="center" wrapText="1"/>
      <protection/>
    </xf>
    <xf numFmtId="4" fontId="27" fillId="0" borderId="20" xfId="38" applyNumberFormat="1" applyFont="1" applyFill="1" applyBorder="1" applyAlignment="1">
      <alignment horizontal="right" vertical="center" wrapText="1" indent="1"/>
      <protection/>
    </xf>
    <xf numFmtId="4" fontId="27" fillId="0" borderId="21" xfId="37" applyNumberFormat="1" applyFont="1" applyFill="1" applyBorder="1" applyAlignment="1">
      <alignment horizontal="right" vertical="center" wrapText="1" indent="1"/>
      <protection/>
    </xf>
    <xf numFmtId="49" fontId="53" fillId="0" borderId="79" xfId="37" applyNumberFormat="1" applyFont="1" applyFill="1" applyBorder="1" applyAlignment="1">
      <alignment horizontal="center" vertical="center" wrapText="1"/>
      <protection/>
    </xf>
    <xf numFmtId="49" fontId="53" fillId="0" borderId="20" xfId="37" applyNumberFormat="1" applyFont="1" applyFill="1" applyBorder="1" applyAlignment="1">
      <alignment horizontal="center" vertical="center" wrapText="1"/>
      <protection/>
    </xf>
    <xf numFmtId="165" fontId="59" fillId="0" borderId="0" xfId="0" applyNumberFormat="1" applyFont="1" applyFill="1" applyBorder="1" applyAlignment="1">
      <alignment vertical="center"/>
    </xf>
    <xf numFmtId="0" fontId="17" fillId="12" borderId="0" xfId="38" applyFont="1" applyFill="1" applyAlignment="1">
      <alignment vertical="center"/>
      <protection/>
    </xf>
    <xf numFmtId="165" fontId="58" fillId="0" borderId="0" xfId="38" applyNumberFormat="1" applyFont="1" applyFill="1" applyAlignment="1">
      <alignment vertical="center"/>
      <protection/>
    </xf>
    <xf numFmtId="0" fontId="27" fillId="0" borderId="20" xfId="37" applyFont="1" applyFill="1" applyBorder="1" applyAlignment="1">
      <alignment horizontal="center" vertical="center" wrapText="1"/>
      <protection/>
    </xf>
    <xf numFmtId="0" fontId="27" fillId="0" borderId="20" xfId="38" applyFont="1" applyFill="1" applyBorder="1" applyAlignment="1">
      <alignment vertical="center" wrapText="1"/>
      <protection/>
    </xf>
    <xf numFmtId="2" fontId="27" fillId="0" borderId="20" xfId="38" applyNumberFormat="1" applyFont="1" applyFill="1" applyBorder="1" applyAlignment="1">
      <alignment horizontal="center" vertical="center" wrapText="1"/>
      <protection/>
    </xf>
    <xf numFmtId="4" fontId="27" fillId="0" borderId="20" xfId="38" applyNumberFormat="1" applyFont="1" applyFill="1" applyBorder="1" applyAlignment="1">
      <alignment horizontal="right" vertical="center" wrapText="1" indent="1"/>
      <protection/>
    </xf>
    <xf numFmtId="4" fontId="27" fillId="0" borderId="21" xfId="37" applyNumberFormat="1" applyFont="1" applyFill="1" applyBorder="1" applyAlignment="1">
      <alignment horizontal="right" vertical="center" wrapText="1" indent="1"/>
      <protection/>
    </xf>
    <xf numFmtId="0" fontId="33" fillId="0" borderId="0" xfId="38" applyFont="1" applyFill="1" applyBorder="1" applyAlignment="1">
      <alignment vertical="center"/>
      <protection/>
    </xf>
    <xf numFmtId="0" fontId="33" fillId="0" borderId="0" xfId="38" applyFont="1" applyFill="1" applyAlignment="1">
      <alignment vertical="center"/>
      <protection/>
    </xf>
    <xf numFmtId="0" fontId="12" fillId="0" borderId="0" xfId="38" applyFont="1" applyFill="1" applyAlignment="1">
      <alignment vertical="center"/>
      <protection/>
    </xf>
    <xf numFmtId="49" fontId="7" fillId="0" borderId="36" xfId="37" applyNumberFormat="1" applyFont="1" applyFill="1" applyBorder="1" applyAlignment="1">
      <alignment horizontal="center" vertical="center" wrapText="1"/>
      <protection/>
    </xf>
    <xf numFmtId="0" fontId="7" fillId="0" borderId="37" xfId="37" applyFont="1" applyFill="1" applyBorder="1" applyAlignment="1">
      <alignment horizontal="center" vertical="center" wrapText="1"/>
      <protection/>
    </xf>
    <xf numFmtId="0" fontId="7" fillId="0" borderId="20" xfId="38" applyFont="1" applyFill="1" applyBorder="1" applyAlignment="1">
      <alignment vertical="center" wrapText="1"/>
      <protection/>
    </xf>
    <xf numFmtId="0" fontId="7" fillId="0" borderId="20" xfId="38" applyFont="1" applyFill="1" applyBorder="1" applyAlignment="1">
      <alignment horizontal="center" vertical="center" wrapText="1"/>
      <protection/>
    </xf>
    <xf numFmtId="4" fontId="7" fillId="0" borderId="37" xfId="38" applyNumberFormat="1" applyFont="1" applyFill="1" applyBorder="1" applyAlignment="1">
      <alignment horizontal="right" vertical="center" indent="1"/>
      <protection/>
    </xf>
    <xf numFmtId="4" fontId="7" fillId="0" borderId="38" xfId="37" applyNumberFormat="1" applyFont="1" applyFill="1" applyBorder="1" applyAlignment="1">
      <alignment horizontal="right" vertical="center" indent="1"/>
      <protection/>
    </xf>
    <xf numFmtId="4" fontId="7" fillId="0" borderId="20" xfId="0" applyNumberFormat="1" applyFont="1" applyFill="1" applyBorder="1" applyAlignment="1">
      <alignment horizontal="right" vertical="center" indent="1"/>
    </xf>
    <xf numFmtId="4" fontId="7" fillId="0" borderId="20" xfId="38" applyNumberFormat="1" applyFont="1" applyFill="1" applyBorder="1" applyAlignment="1">
      <alignment horizontal="right" vertical="center" indent="1"/>
      <protection/>
    </xf>
    <xf numFmtId="4" fontId="7" fillId="0" borderId="21" xfId="37" applyNumberFormat="1" applyFont="1" applyFill="1" applyBorder="1" applyAlignment="1">
      <alignment horizontal="right" vertical="center" wrapText="1" indent="1"/>
      <protection/>
    </xf>
    <xf numFmtId="49" fontId="11" fillId="0" borderId="19" xfId="37" applyNumberFormat="1" applyFont="1" applyFill="1" applyBorder="1" applyAlignment="1">
      <alignment horizontal="center" vertical="center" wrapText="1"/>
      <protection/>
    </xf>
    <xf numFmtId="0" fontId="7" fillId="0" borderId="20" xfId="37" applyNumberFormat="1" applyFont="1" applyFill="1" applyBorder="1" applyAlignment="1">
      <alignment horizontal="center" vertical="center" wrapText="1"/>
      <protection/>
    </xf>
    <xf numFmtId="0"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horizontal="right" vertical="center" wrapText="1"/>
      <protection/>
    </xf>
    <xf numFmtId="4" fontId="7" fillId="0" borderId="21" xfId="37" applyNumberFormat="1" applyFont="1" applyBorder="1" applyAlignment="1">
      <alignment horizontal="right" vertical="center" wrapText="1" indent="1"/>
      <protection/>
    </xf>
    <xf numFmtId="0" fontId="7" fillId="0" borderId="20" xfId="39" applyFont="1" applyFill="1" applyBorder="1" applyAlignment="1">
      <alignment horizontal="center" vertical="center" wrapText="1"/>
      <protection/>
    </xf>
    <xf numFmtId="4" fontId="60" fillId="0" borderId="80" xfId="0" applyNumberFormat="1" applyFont="1" applyFill="1" applyBorder="1" applyAlignment="1">
      <alignment horizontal="right" vertical="center" indent="1" readingOrder="1"/>
    </xf>
    <xf numFmtId="49" fontId="7" fillId="0" borderId="19" xfId="37" applyNumberFormat="1" applyFont="1" applyFill="1" applyBorder="1" applyAlignment="1">
      <alignment horizontal="center" vertical="center" wrapText="1"/>
      <protection/>
    </xf>
    <xf numFmtId="49" fontId="7" fillId="0" borderId="19" xfId="37" applyNumberFormat="1" applyFont="1" applyFill="1" applyBorder="1" applyAlignment="1">
      <alignment horizontal="center" vertical="center" wrapText="1"/>
      <protection/>
    </xf>
    <xf numFmtId="0" fontId="11" fillId="0" borderId="37" xfId="37" applyFont="1" applyFill="1" applyBorder="1" applyAlignment="1">
      <alignment horizontal="center" vertical="center" wrapText="1"/>
      <protection/>
    </xf>
    <xf numFmtId="0" fontId="11" fillId="0" borderId="37" xfId="37" applyFont="1" applyFill="1" applyBorder="1" applyAlignment="1">
      <alignment horizontal="center" vertical="center" wrapText="1"/>
      <protection/>
    </xf>
    <xf numFmtId="0" fontId="7" fillId="0" borderId="20" xfId="38" applyFont="1" applyFill="1" applyBorder="1" applyAlignment="1">
      <alignment vertical="center" wrapText="1"/>
      <protection/>
    </xf>
    <xf numFmtId="165" fontId="32" fillId="0" borderId="0" xfId="38" applyNumberFormat="1" applyFont="1" applyFill="1" applyBorder="1" applyAlignment="1">
      <alignment vertical="center"/>
      <protection/>
    </xf>
    <xf numFmtId="4" fontId="7" fillId="0" borderId="18" xfId="37" applyNumberFormat="1" applyFont="1" applyFill="1" applyBorder="1" applyAlignment="1">
      <alignment horizontal="right" vertical="center" wrapText="1"/>
      <protection/>
    </xf>
    <xf numFmtId="49" fontId="53" fillId="0" borderId="20" xfId="37" applyNumberFormat="1" applyFont="1" applyFill="1" applyBorder="1" applyAlignment="1">
      <alignment horizontal="center" vertical="center" wrapText="1"/>
      <protection/>
    </xf>
    <xf numFmtId="0" fontId="27" fillId="0" borderId="20" xfId="0" applyFont="1" applyFill="1" applyBorder="1" applyAlignment="1">
      <alignment vertical="center" wrapText="1"/>
    </xf>
    <xf numFmtId="4" fontId="53" fillId="0" borderId="20" xfId="0" applyNumberFormat="1" applyFont="1" applyFill="1" applyBorder="1" applyAlignment="1">
      <alignment horizontal="right" vertical="center" wrapText="1" indent="1"/>
    </xf>
    <xf numFmtId="4" fontId="53" fillId="0" borderId="20" xfId="0" applyNumberFormat="1" applyFont="1" applyFill="1" applyBorder="1" applyAlignment="1">
      <alignment horizontal="right" vertical="center" indent="1"/>
    </xf>
    <xf numFmtId="4" fontId="53" fillId="0" borderId="21" xfId="37" applyNumberFormat="1" applyFont="1" applyFill="1" applyBorder="1" applyAlignment="1">
      <alignment horizontal="right" vertical="center" indent="1"/>
      <protection/>
    </xf>
    <xf numFmtId="0" fontId="11" fillId="0" borderId="20" xfId="0" applyFont="1" applyFill="1" applyBorder="1" applyAlignment="1">
      <alignment vertical="center" wrapText="1"/>
    </xf>
    <xf numFmtId="0" fontId="7" fillId="0" borderId="20" xfId="37" applyFont="1" applyFill="1" applyBorder="1" applyAlignment="1">
      <alignment horizontal="center" vertical="center" wrapText="1"/>
      <protection/>
    </xf>
    <xf numFmtId="0" fontId="7" fillId="0" borderId="20" xfId="37" applyFont="1" applyFill="1" applyBorder="1" applyAlignment="1">
      <alignment vertical="center" wrapText="1"/>
      <protection/>
    </xf>
    <xf numFmtId="0" fontId="27" fillId="0" borderId="20" xfId="38" applyFont="1" applyFill="1" applyBorder="1" applyAlignment="1">
      <alignment horizontal="left" vertical="center" wrapText="1"/>
      <protection/>
    </xf>
    <xf numFmtId="0" fontId="27" fillId="0" borderId="20" xfId="38" applyFont="1" applyFill="1" applyBorder="1" applyAlignment="1">
      <alignment horizontal="left" vertical="center" wrapText="1"/>
      <protection/>
    </xf>
    <xf numFmtId="4" fontId="27" fillId="0" borderId="37" xfId="38" applyNumberFormat="1" applyFont="1" applyFill="1" applyBorder="1" applyAlignment="1">
      <alignment horizontal="right" vertical="center" wrapText="1" indent="1"/>
      <protection/>
    </xf>
    <xf numFmtId="4" fontId="27" fillId="0" borderId="38" xfId="37" applyNumberFormat="1" applyFont="1" applyFill="1" applyBorder="1" applyAlignment="1">
      <alignment horizontal="right" vertical="center" wrapText="1" indent="1"/>
      <protection/>
    </xf>
    <xf numFmtId="165" fontId="54" fillId="0" borderId="0" xfId="38" applyNumberFormat="1" applyFont="1" applyFill="1" applyBorder="1" applyAlignment="1">
      <alignment vertical="center"/>
      <protection/>
    </xf>
    <xf numFmtId="49" fontId="27" fillId="0" borderId="19" xfId="37" applyNumberFormat="1" applyFont="1" applyFill="1" applyBorder="1" applyAlignment="1">
      <alignment horizontal="center" vertical="center" wrapText="1"/>
      <protection/>
    </xf>
    <xf numFmtId="0" fontId="27" fillId="0" borderId="20" xfId="37" applyFont="1" applyFill="1" applyBorder="1" applyAlignment="1">
      <alignment horizontal="center" vertical="center" wrapText="1"/>
      <protection/>
    </xf>
    <xf numFmtId="0" fontId="27" fillId="0" borderId="20" xfId="38" applyFont="1" applyFill="1" applyBorder="1" applyAlignment="1">
      <alignment vertical="center" wrapText="1"/>
      <protection/>
    </xf>
    <xf numFmtId="4" fontId="27" fillId="0" borderId="37" xfId="38" applyNumberFormat="1" applyFont="1" applyFill="1" applyBorder="1" applyAlignment="1">
      <alignment horizontal="right" vertical="center" wrapText="1" indent="1"/>
      <protection/>
    </xf>
    <xf numFmtId="4" fontId="27" fillId="0" borderId="20" xfId="38" applyNumberFormat="1" applyFont="1" applyFill="1" applyBorder="1" applyAlignment="1">
      <alignment horizontal="right" vertical="center" wrapText="1" indent="1"/>
      <protection/>
    </xf>
    <xf numFmtId="4" fontId="27" fillId="0" borderId="21" xfId="37" applyNumberFormat="1" applyFont="1" applyFill="1" applyBorder="1" applyAlignment="1">
      <alignment horizontal="right" vertical="center" wrapText="1" indent="1"/>
      <protection/>
    </xf>
    <xf numFmtId="0" fontId="27" fillId="0" borderId="17" xfId="37" applyFont="1" applyFill="1" applyBorder="1" applyAlignment="1">
      <alignment horizontal="center" vertical="center" wrapText="1"/>
      <protection/>
    </xf>
    <xf numFmtId="2" fontId="27" fillId="0" borderId="17" xfId="38" applyNumberFormat="1"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4" fontId="7" fillId="0" borderId="20" xfId="38" applyNumberFormat="1" applyFont="1" applyFill="1" applyBorder="1" applyAlignment="1">
      <alignment horizontal="right" vertical="center" indent="1"/>
      <protection/>
    </xf>
    <xf numFmtId="4" fontId="7" fillId="0" borderId="21" xfId="37" applyNumberFormat="1" applyFont="1" applyFill="1" applyBorder="1" applyAlignment="1">
      <alignment horizontal="right" vertical="center" wrapText="1" indent="1"/>
      <protection/>
    </xf>
    <xf numFmtId="4" fontId="7" fillId="0" borderId="21" xfId="37" applyNumberFormat="1" applyFont="1" applyFill="1" applyBorder="1" applyAlignment="1">
      <alignment horizontal="right" vertical="center" inden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2" fontId="27" fillId="0" borderId="20" xfId="0" applyNumberFormat="1" applyFont="1" applyFill="1" applyBorder="1" applyAlignment="1">
      <alignment horizontal="left" vertical="center" wrapText="1"/>
    </xf>
    <xf numFmtId="0" fontId="53" fillId="0" borderId="20" xfId="38" applyFont="1" applyFill="1" applyBorder="1" applyAlignment="1">
      <alignment vertical="center" wrapText="1"/>
      <protection/>
    </xf>
    <xf numFmtId="0" fontId="0" fillId="13" borderId="0" xfId="38" applyFill="1" applyAlignment="1">
      <alignment vertical="center"/>
      <protection/>
    </xf>
    <xf numFmtId="0" fontId="7" fillId="0" borderId="17" xfId="0" applyFont="1" applyFill="1" applyBorder="1" applyAlignment="1">
      <alignment vertical="center" wrapText="1"/>
    </xf>
    <xf numFmtId="0" fontId="7" fillId="0" borderId="17" xfId="0" applyFont="1" applyFill="1" applyBorder="1" applyAlignment="1">
      <alignment horizontal="center" vertical="center" wrapText="1"/>
    </xf>
    <xf numFmtId="4" fontId="7" fillId="0" borderId="17" xfId="0" applyNumberFormat="1" applyFont="1" applyFill="1" applyBorder="1" applyAlignment="1">
      <alignment horizontal="right" vertical="center" indent="1"/>
    </xf>
    <xf numFmtId="0" fontId="27" fillId="0" borderId="37" xfId="37" applyFont="1" applyFill="1" applyBorder="1" applyAlignment="1">
      <alignment horizontal="center" vertical="center" wrapText="1"/>
      <protection/>
    </xf>
    <xf numFmtId="4" fontId="61" fillId="0" borderId="0" xfId="0" applyNumberFormat="1" applyFont="1" applyAlignment="1">
      <alignment horizontal="center" vertical="center"/>
    </xf>
    <xf numFmtId="4" fontId="61" fillId="0" borderId="0" xfId="0" applyNumberFormat="1" applyFont="1" applyAlignment="1">
      <alignment horizontal="center" vertical="center" wrapText="1"/>
    </xf>
    <xf numFmtId="4" fontId="61" fillId="12" borderId="0" xfId="0" applyNumberFormat="1" applyFont="1" applyFill="1" applyAlignment="1">
      <alignment horizontal="center" vertical="center"/>
    </xf>
    <xf numFmtId="4" fontId="61" fillId="0" borderId="0" xfId="0" applyNumberFormat="1" applyFont="1" applyFill="1" applyAlignment="1">
      <alignment horizontal="center" vertical="center"/>
    </xf>
    <xf numFmtId="4" fontId="61" fillId="12" borderId="0" xfId="38" applyNumberFormat="1" applyFont="1" applyFill="1" applyAlignment="1">
      <alignment horizontal="center" vertical="center"/>
      <protection/>
    </xf>
    <xf numFmtId="4" fontId="61" fillId="0" borderId="0" xfId="38" applyNumberFormat="1" applyFont="1" applyFill="1" applyAlignment="1">
      <alignment horizontal="center" vertical="center"/>
      <protection/>
    </xf>
    <xf numFmtId="4" fontId="61" fillId="13" borderId="0" xfId="38" applyNumberFormat="1" applyFont="1" applyFill="1" applyAlignment="1">
      <alignment horizontal="center" vertical="center"/>
      <protection/>
    </xf>
    <xf numFmtId="4" fontId="61" fillId="0" borderId="0" xfId="0" applyNumberFormat="1" applyFont="1" applyAlignment="1">
      <alignment horizontal="right" vertical="center" indent="1"/>
    </xf>
    <xf numFmtId="0" fontId="0" fillId="0" borderId="0" xfId="0" applyAlignment="1">
      <alignment horizontal="right" vertical="center" indent="1"/>
    </xf>
    <xf numFmtId="0" fontId="21" fillId="0" borderId="0" xfId="0" applyFont="1" applyAlignment="1">
      <alignment horizontal="right" vertical="center" indent="1"/>
    </xf>
    <xf numFmtId="4" fontId="61" fillId="0" borderId="0" xfId="0" applyNumberFormat="1" applyFont="1" applyAlignment="1">
      <alignment horizontal="right" vertical="center" wrapText="1" indent="1"/>
    </xf>
    <xf numFmtId="0" fontId="0" fillId="0" borderId="0" xfId="0" applyAlignment="1">
      <alignment horizontal="right" vertical="center" wrapText="1" indent="1"/>
    </xf>
    <xf numFmtId="0" fontId="0" fillId="0" borderId="0" xfId="0" applyFont="1" applyAlignment="1">
      <alignment horizontal="right" vertical="center" wrapText="1" indent="1"/>
    </xf>
    <xf numFmtId="4" fontId="61" fillId="12" borderId="0" xfId="0" applyNumberFormat="1" applyFont="1" applyFill="1" applyAlignment="1">
      <alignment horizontal="right" vertical="center" indent="1"/>
    </xf>
    <xf numFmtId="0" fontId="17" fillId="12" borderId="0" xfId="0" applyFont="1" applyFill="1" applyAlignment="1">
      <alignment horizontal="right" vertical="center" indent="1"/>
    </xf>
    <xf numFmtId="4" fontId="61" fillId="0" borderId="0" xfId="0" applyNumberFormat="1" applyFont="1" applyFill="1" applyAlignment="1">
      <alignment horizontal="right" vertical="center" indent="1"/>
    </xf>
    <xf numFmtId="0" fontId="29" fillId="0" borderId="0" xfId="0" applyFont="1" applyFill="1" applyAlignment="1">
      <alignment horizontal="right" vertical="center" indent="1"/>
    </xf>
    <xf numFmtId="0" fontId="17" fillId="0" borderId="0" xfId="0" applyFont="1" applyFill="1" applyAlignment="1">
      <alignment horizontal="right" vertical="center" indent="1"/>
    </xf>
    <xf numFmtId="0" fontId="17" fillId="0" borderId="0" xfId="0" applyFont="1" applyAlignment="1">
      <alignment horizontal="right" vertical="center" indent="1"/>
    </xf>
    <xf numFmtId="4" fontId="61" fillId="12" borderId="0" xfId="38" applyNumberFormat="1" applyFont="1" applyFill="1" applyAlignment="1">
      <alignment horizontal="right" vertical="center" indent="1"/>
      <protection/>
    </xf>
    <xf numFmtId="4" fontId="61" fillId="0" borderId="0" xfId="38" applyNumberFormat="1" applyFont="1" applyFill="1" applyAlignment="1">
      <alignment horizontal="right" vertical="center" indent="1"/>
      <protection/>
    </xf>
    <xf numFmtId="0" fontId="30" fillId="0" borderId="0" xfId="38" applyFont="1" applyFill="1" applyAlignment="1">
      <alignment horizontal="right" vertical="center" indent="1"/>
      <protection/>
    </xf>
    <xf numFmtId="0" fontId="17" fillId="12" borderId="0" xfId="38" applyFont="1" applyFill="1" applyAlignment="1">
      <alignment horizontal="right" vertical="center" indent="1"/>
      <protection/>
    </xf>
    <xf numFmtId="0" fontId="55" fillId="0" borderId="0" xfId="0" applyFont="1" applyFill="1" applyAlignment="1">
      <alignment horizontal="right" vertical="center" indent="1"/>
    </xf>
    <xf numFmtId="0" fontId="0" fillId="12" borderId="0" xfId="0" applyFill="1" applyAlignment="1">
      <alignment horizontal="right" vertical="center" indent="1"/>
    </xf>
    <xf numFmtId="4" fontId="61" fillId="13" borderId="0" xfId="38" applyNumberFormat="1" applyFont="1" applyFill="1" applyAlignment="1">
      <alignment horizontal="right" vertical="center" indent="1"/>
      <protection/>
    </xf>
    <xf numFmtId="0" fontId="0" fillId="13" borderId="0" xfId="38" applyFill="1" applyAlignment="1">
      <alignment horizontal="right" vertical="center" indent="1"/>
      <protection/>
    </xf>
    <xf numFmtId="0" fontId="0" fillId="0" borderId="0" xfId="38" applyFill="1" applyAlignment="1">
      <alignment horizontal="right" vertical="center" indent="1"/>
      <protection/>
    </xf>
    <xf numFmtId="0" fontId="11" fillId="0" borderId="20" xfId="37" applyFont="1" applyFill="1" applyBorder="1" applyAlignment="1">
      <alignment horizontal="center" vertical="center" wrapText="1"/>
      <protection/>
    </xf>
    <xf numFmtId="0" fontId="0" fillId="0" borderId="0" xfId="0" applyFill="1" applyAlignment="1">
      <alignment horizontal="right" vertical="center" indent="1"/>
    </xf>
    <xf numFmtId="4" fontId="7" fillId="0" borderId="20" xfId="37" applyNumberFormat="1" applyFont="1" applyFill="1" applyBorder="1" applyAlignment="1">
      <alignment horizontal="right" vertical="center" wrapText="1" indent="1"/>
      <protection/>
    </xf>
    <xf numFmtId="4" fontId="7" fillId="0" borderId="20" xfId="38" applyNumberFormat="1" applyFont="1" applyFill="1" applyBorder="1" applyAlignment="1">
      <alignment horizontal="right" vertical="center" wrapText="1" indent="1"/>
      <protection/>
    </xf>
    <xf numFmtId="0" fontId="7" fillId="0" borderId="20" xfId="37" applyFont="1" applyFill="1" applyBorder="1" applyAlignment="1">
      <alignment vertical="center" wrapText="1"/>
      <protection/>
    </xf>
    <xf numFmtId="49" fontId="11" fillId="0" borderId="16" xfId="37" applyNumberFormat="1" applyFont="1" applyFill="1" applyBorder="1" applyAlignment="1">
      <alignment horizontal="center" vertical="center" wrapText="1"/>
      <protection/>
    </xf>
    <xf numFmtId="0" fontId="11" fillId="0" borderId="17" xfId="37" applyFont="1" applyFill="1" applyBorder="1" applyAlignment="1">
      <alignment horizontal="center" vertical="center" wrapText="1"/>
      <protection/>
    </xf>
    <xf numFmtId="0" fontId="11" fillId="0" borderId="17" xfId="37" applyFont="1" applyFill="1" applyBorder="1" applyAlignment="1">
      <alignment vertical="center" wrapText="1"/>
      <protection/>
    </xf>
    <xf numFmtId="4" fontId="11" fillId="0" borderId="17" xfId="37" applyNumberFormat="1" applyFont="1" applyFill="1" applyBorder="1" applyAlignment="1">
      <alignment horizontal="right" vertical="center" wrapText="1" indent="1"/>
      <protection/>
    </xf>
    <xf numFmtId="4" fontId="11" fillId="0" borderId="18" xfId="37" applyNumberFormat="1" applyFont="1" applyFill="1" applyBorder="1" applyAlignment="1">
      <alignment horizontal="right" vertical="center" indent="1"/>
      <protection/>
    </xf>
    <xf numFmtId="165" fontId="33" fillId="0" borderId="0" xfId="0" applyNumberFormat="1" applyFont="1" applyFill="1" applyAlignment="1">
      <alignment vertical="center"/>
    </xf>
    <xf numFmtId="4" fontId="62" fillId="0" borderId="0" xfId="0" applyNumberFormat="1" applyFont="1" applyFill="1" applyAlignment="1">
      <alignment horizontal="center" vertical="center"/>
    </xf>
    <xf numFmtId="4" fontId="62" fillId="0" borderId="0" xfId="0" applyNumberFormat="1" applyFont="1" applyFill="1" applyAlignment="1">
      <alignment horizontal="right" vertical="center" indent="1"/>
    </xf>
    <xf numFmtId="0" fontId="12" fillId="0" borderId="0" xfId="0" applyFont="1" applyFill="1" applyAlignment="1">
      <alignment horizontal="right" vertical="center" indent="1"/>
    </xf>
    <xf numFmtId="0" fontId="37" fillId="0" borderId="0" xfId="0" applyFont="1" applyFill="1" applyAlignment="1">
      <alignment horizontal="right" vertical="center" indent="1"/>
    </xf>
    <xf numFmtId="4" fontId="61" fillId="0" borderId="0" xfId="0" applyNumberFormat="1" applyFont="1" applyFill="1" applyAlignment="1">
      <alignment horizontal="center" vertical="center" wrapText="1"/>
    </xf>
    <xf numFmtId="4" fontId="61" fillId="0" borderId="0" xfId="0" applyNumberFormat="1" applyFont="1" applyFill="1" applyAlignment="1">
      <alignment horizontal="right" vertical="center" wrapText="1" indent="1"/>
    </xf>
    <xf numFmtId="0" fontId="17" fillId="0" borderId="0" xfId="0" applyFont="1" applyFill="1" applyAlignment="1">
      <alignment horizontal="right" vertical="center" wrapText="1" indent="1"/>
    </xf>
    <xf numFmtId="0" fontId="53" fillId="0" borderId="20" xfId="37" applyFont="1" applyFill="1" applyBorder="1" applyAlignment="1">
      <alignment horizontal="center" vertical="center" wrapText="1"/>
      <protection/>
    </xf>
    <xf numFmtId="0" fontId="53" fillId="0" borderId="20" xfId="0" applyFont="1" applyFill="1" applyBorder="1" applyAlignment="1">
      <alignment vertical="center" wrapText="1"/>
    </xf>
    <xf numFmtId="4" fontId="53" fillId="0" borderId="20" xfId="0" applyNumberFormat="1" applyFont="1" applyFill="1" applyBorder="1" applyAlignment="1">
      <alignment horizontal="right" vertical="center" wrapText="1" indent="1"/>
    </xf>
    <xf numFmtId="4" fontId="53" fillId="0" borderId="20" xfId="0" applyNumberFormat="1" applyFont="1" applyFill="1" applyBorder="1" applyAlignment="1">
      <alignment horizontal="right" vertical="center" indent="1"/>
    </xf>
    <xf numFmtId="4" fontId="53" fillId="0" borderId="20" xfId="0" applyNumberFormat="1" applyFont="1" applyFill="1" applyBorder="1" applyAlignment="1">
      <alignment horizontal="right" vertical="center" indent="1"/>
    </xf>
    <xf numFmtId="4" fontId="53" fillId="0" borderId="21" xfId="37" applyNumberFormat="1" applyFont="1" applyFill="1" applyBorder="1" applyAlignment="1">
      <alignment horizontal="right" vertical="center" indent="1"/>
      <protection/>
    </xf>
    <xf numFmtId="2" fontId="31" fillId="0" borderId="20" xfId="0" applyNumberFormat="1" applyFont="1" applyFill="1" applyBorder="1" applyAlignment="1">
      <alignment horizontal="center" vertical="center" wrapText="1"/>
    </xf>
    <xf numFmtId="4" fontId="31" fillId="0" borderId="20" xfId="0" applyNumberFormat="1" applyFont="1" applyFill="1" applyBorder="1" applyAlignment="1">
      <alignment horizontal="right" vertical="center" wrapText="1"/>
    </xf>
    <xf numFmtId="0" fontId="11" fillId="0" borderId="20" xfId="0" applyFont="1" applyFill="1" applyBorder="1" applyAlignment="1">
      <alignment vertical="center" wrapText="1"/>
    </xf>
    <xf numFmtId="4" fontId="53" fillId="0" borderId="20" xfId="0" applyNumberFormat="1" applyFont="1" applyFill="1" applyBorder="1" applyAlignment="1">
      <alignment horizontal="right" vertical="center" indent="1"/>
    </xf>
    <xf numFmtId="0" fontId="17" fillId="0" borderId="0" xfId="38" applyFont="1" applyFill="1" applyAlignment="1">
      <alignment horizontal="right" vertical="center" indent="1"/>
      <protection/>
    </xf>
    <xf numFmtId="0" fontId="27" fillId="0" borderId="20" xfId="0" applyFont="1" applyFill="1" applyBorder="1" applyAlignment="1">
      <alignment horizontal="left" vertical="center" wrapText="1"/>
    </xf>
    <xf numFmtId="4" fontId="62" fillId="0" borderId="0" xfId="0" applyNumberFormat="1" applyFont="1" applyFill="1" applyAlignment="1">
      <alignment horizontal="right" vertical="center" indent="1"/>
    </xf>
    <xf numFmtId="0" fontId="25" fillId="0" borderId="0" xfId="38" applyFont="1" applyFill="1" applyAlignment="1">
      <alignment horizontal="right" vertical="center" indent="1"/>
      <protection/>
    </xf>
    <xf numFmtId="0" fontId="7" fillId="0" borderId="20" xfId="37" applyFont="1" applyFill="1" applyBorder="1" applyAlignment="1">
      <alignment horizontal="center" wrapText="1"/>
      <protection/>
    </xf>
    <xf numFmtId="0" fontId="7" fillId="0" borderId="20" xfId="39" applyFont="1" applyFill="1" applyBorder="1" applyAlignment="1">
      <alignment vertical="center" wrapText="1"/>
      <protection/>
    </xf>
    <xf numFmtId="167" fontId="7" fillId="0" borderId="20" xfId="39" applyNumberFormat="1" applyFont="1" applyFill="1" applyBorder="1" applyAlignment="1">
      <alignment horizontal="center" vertical="center" wrapText="1"/>
      <protection/>
    </xf>
    <xf numFmtId="4" fontId="7" fillId="0" borderId="20" xfId="39" applyNumberFormat="1" applyFont="1" applyFill="1" applyBorder="1" applyAlignment="1">
      <alignment horizontal="right" vertical="center" wrapText="1" indent="1"/>
      <protection/>
    </xf>
    <xf numFmtId="4" fontId="7" fillId="0" borderId="21" xfId="39" applyNumberFormat="1" applyFont="1" applyFill="1" applyBorder="1" applyAlignment="1">
      <alignment horizontal="right" vertical="center" wrapText="1" indent="1"/>
      <protection/>
    </xf>
    <xf numFmtId="49" fontId="53" fillId="0" borderId="19" xfId="37" applyNumberFormat="1" applyFont="1" applyFill="1" applyBorder="1" applyAlignment="1">
      <alignment horizontal="center" vertical="center" wrapText="1"/>
      <protection/>
    </xf>
    <xf numFmtId="0" fontId="53" fillId="0" borderId="20" xfId="37" applyFont="1" applyFill="1" applyBorder="1" applyAlignment="1">
      <alignment horizontal="center" vertical="center" wrapText="1"/>
      <protection/>
    </xf>
    <xf numFmtId="0" fontId="53" fillId="0" borderId="20" xfId="0" applyFont="1" applyFill="1" applyBorder="1" applyAlignment="1">
      <alignment vertical="center" wrapText="1"/>
    </xf>
    <xf numFmtId="4" fontId="53" fillId="0" borderId="20" xfId="0" applyNumberFormat="1" applyFont="1" applyFill="1" applyBorder="1" applyAlignment="1">
      <alignment horizontal="right" vertical="center" wrapText="1" indent="1"/>
    </xf>
    <xf numFmtId="165" fontId="17" fillId="0" borderId="0" xfId="38" applyNumberFormat="1" applyFont="1" applyFill="1" applyBorder="1" applyAlignment="1">
      <alignment vertical="center" wrapText="1"/>
      <protection/>
    </xf>
    <xf numFmtId="165" fontId="63" fillId="0" borderId="0" xfId="0" applyNumberFormat="1" applyFont="1" applyFill="1" applyBorder="1" applyAlignment="1">
      <alignment vertical="center"/>
    </xf>
    <xf numFmtId="165" fontId="17" fillId="0" borderId="0" xfId="38" applyNumberFormat="1" applyFont="1" applyFill="1" applyAlignment="1">
      <alignment vertical="center" wrapText="1"/>
      <protection/>
    </xf>
    <xf numFmtId="0" fontId="0" fillId="0" borderId="0" xfId="38" applyFill="1" applyAlignment="1">
      <alignment vertical="center" wrapText="1"/>
      <protection/>
    </xf>
    <xf numFmtId="2" fontId="27" fillId="0" borderId="20" xfId="0" applyNumberFormat="1" applyFont="1" applyFill="1" applyBorder="1" applyAlignment="1">
      <alignment horizontal="center" vertical="center" wrapText="1"/>
    </xf>
    <xf numFmtId="4" fontId="27" fillId="0" borderId="20" xfId="0" applyNumberFormat="1" applyFont="1" applyFill="1" applyBorder="1" applyAlignment="1">
      <alignment horizontal="right" vertical="center" wrapText="1"/>
    </xf>
    <xf numFmtId="4" fontId="27" fillId="0" borderId="21" xfId="37" applyNumberFormat="1" applyFont="1" applyFill="1" applyBorder="1" applyAlignment="1">
      <alignment horizontal="right" vertical="center" wrapText="1"/>
      <protection/>
    </xf>
    <xf numFmtId="165" fontId="7" fillId="0" borderId="20" xfId="0" applyNumberFormat="1" applyFont="1" applyFill="1" applyBorder="1" applyAlignment="1">
      <alignment horizontal="right" vertical="center" indent="1"/>
    </xf>
    <xf numFmtId="49" fontId="64" fillId="0" borderId="20" xfId="37" applyNumberFormat="1" applyFont="1" applyFill="1" applyBorder="1" applyAlignment="1">
      <alignment horizontal="center" vertical="center" wrapText="1"/>
      <protection/>
    </xf>
    <xf numFmtId="0" fontId="7" fillId="0" borderId="20" xfId="38" applyFont="1" applyFill="1" applyBorder="1" applyAlignment="1">
      <alignment horizontal="center" vertical="center" wrapText="1"/>
      <protection/>
    </xf>
    <xf numFmtId="4" fontId="7" fillId="0" borderId="37" xfId="37" applyNumberFormat="1" applyFont="1" applyFill="1" applyBorder="1" applyAlignment="1">
      <alignment horizontal="right" vertical="center" wrapText="1" indent="1"/>
      <protection/>
    </xf>
    <xf numFmtId="4" fontId="7" fillId="0" borderId="37" xfId="38" applyNumberFormat="1" applyFont="1" applyFill="1" applyBorder="1" applyAlignment="1">
      <alignment horizontal="right" vertical="center" wrapText="1" indent="1"/>
      <protection/>
    </xf>
    <xf numFmtId="0" fontId="53" fillId="0" borderId="17" xfId="0" applyFont="1" applyFill="1" applyBorder="1" applyAlignment="1">
      <alignment vertical="center" wrapText="1"/>
    </xf>
    <xf numFmtId="4" fontId="53" fillId="0" borderId="17" xfId="0" applyNumberFormat="1" applyFont="1" applyFill="1" applyBorder="1" applyAlignment="1">
      <alignment horizontal="right" vertical="center" wrapText="1" indent="1"/>
    </xf>
    <xf numFmtId="4" fontId="53" fillId="0" borderId="17" xfId="0" applyNumberFormat="1" applyFont="1" applyFill="1" applyBorder="1" applyAlignment="1">
      <alignment horizontal="right" vertical="center" indent="1"/>
    </xf>
    <xf numFmtId="4" fontId="53" fillId="0" borderId="17" xfId="0" applyNumberFormat="1" applyFont="1" applyFill="1" applyBorder="1" applyAlignment="1">
      <alignment horizontal="right" vertical="center" indent="1"/>
    </xf>
    <xf numFmtId="0" fontId="11" fillId="0" borderId="20" xfId="37" applyFont="1" applyFill="1" applyBorder="1" applyAlignment="1">
      <alignment vertical="center" wrapText="1"/>
      <protection/>
    </xf>
    <xf numFmtId="49" fontId="27" fillId="0" borderId="19" xfId="37" applyNumberFormat="1" applyFont="1" applyFill="1" applyBorder="1" applyAlignment="1">
      <alignment horizontal="center" vertical="center" wrapText="1"/>
      <protection/>
    </xf>
    <xf numFmtId="0" fontId="27" fillId="0" borderId="20" xfId="37" applyFont="1" applyFill="1" applyBorder="1" applyAlignment="1">
      <alignment vertical="center" wrapText="1"/>
      <protection/>
    </xf>
    <xf numFmtId="165" fontId="56" fillId="0" borderId="0" xfId="38" applyNumberFormat="1" applyFont="1" applyFill="1" applyAlignment="1">
      <alignment vertical="center"/>
      <protection/>
    </xf>
    <xf numFmtId="0" fontId="27" fillId="0" borderId="17" xfId="0" applyFont="1" applyFill="1" applyBorder="1" applyAlignment="1">
      <alignment vertical="center" wrapText="1"/>
    </xf>
    <xf numFmtId="2"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right" vertical="center" wrapText="1"/>
    </xf>
    <xf numFmtId="0" fontId="0" fillId="0" borderId="20" xfId="37" applyFont="1" applyFill="1" applyBorder="1" applyAlignment="1">
      <alignment horizontal="center" vertical="center" wrapText="1"/>
      <protection/>
    </xf>
    <xf numFmtId="0" fontId="0" fillId="0" borderId="20" xfId="0" applyFont="1" applyFill="1" applyBorder="1" applyAlignment="1">
      <alignment vertical="center" wrapText="1"/>
    </xf>
    <xf numFmtId="0" fontId="0" fillId="0" borderId="20" xfId="0" applyFont="1" applyFill="1" applyBorder="1" applyAlignment="1">
      <alignment horizontal="center" vertical="center" wrapText="1"/>
    </xf>
    <xf numFmtId="4" fontId="0" fillId="0" borderId="20" xfId="0" applyNumberFormat="1" applyFont="1" applyFill="1" applyBorder="1" applyAlignment="1">
      <alignment horizontal="right" vertical="center" indent="1"/>
    </xf>
    <xf numFmtId="49" fontId="7" fillId="0" borderId="58" xfId="39" applyNumberFormat="1" applyFont="1" applyFill="1" applyBorder="1" applyAlignment="1">
      <alignment horizontal="center" vertical="center" wrapText="1"/>
      <protection/>
    </xf>
    <xf numFmtId="49" fontId="7" fillId="0" borderId="20" xfId="69" applyNumberFormat="1" applyFont="1" applyFill="1" applyBorder="1" applyAlignment="1">
      <alignment horizontal="left" vertical="center"/>
      <protection/>
    </xf>
    <xf numFmtId="0" fontId="7" fillId="0" borderId="20" xfId="70" applyFont="1" applyFill="1" applyBorder="1" applyAlignment="1" applyProtection="1">
      <alignment vertical="center" wrapText="1"/>
      <protection locked="0"/>
    </xf>
    <xf numFmtId="4" fontId="7" fillId="0" borderId="20" xfId="69" applyNumberFormat="1" applyFont="1" applyFill="1" applyBorder="1" applyAlignment="1" applyProtection="1">
      <alignment horizontal="right" vertical="center" indent="1"/>
      <protection locked="0"/>
    </xf>
    <xf numFmtId="4" fontId="7" fillId="0" borderId="60" xfId="39" applyNumberFormat="1" applyFont="1" applyFill="1" applyBorder="1" applyAlignment="1">
      <alignment horizontal="right" vertical="center" wrapText="1" indent="1"/>
      <protection/>
    </xf>
    <xf numFmtId="0" fontId="7" fillId="0" borderId="20" xfId="32" applyFont="1" applyFill="1" applyBorder="1" applyAlignment="1">
      <alignment vertical="center"/>
      <protection/>
    </xf>
    <xf numFmtId="0" fontId="7" fillId="0" borderId="20" xfId="32" applyFont="1" applyFill="1" applyBorder="1" applyAlignment="1">
      <alignment vertical="center" wrapText="1"/>
      <protection/>
    </xf>
    <xf numFmtId="49" fontId="27" fillId="0" borderId="20" xfId="69" applyNumberFormat="1" applyFont="1" applyFill="1" applyBorder="1" applyAlignment="1">
      <alignment horizontal="left" vertical="center"/>
      <protection/>
    </xf>
    <xf numFmtId="49" fontId="7" fillId="0" borderId="81" xfId="39" applyNumberFormat="1" applyFont="1" applyFill="1" applyBorder="1" applyAlignment="1">
      <alignment horizontal="center" vertical="center" wrapText="1"/>
      <protection/>
    </xf>
    <xf numFmtId="49" fontId="7" fillId="0" borderId="20" xfId="39" applyNumberFormat="1" applyFont="1" applyFill="1" applyBorder="1" applyAlignment="1">
      <alignment horizontal="left" vertical="center" wrapText="1"/>
      <protection/>
    </xf>
    <xf numFmtId="0" fontId="7" fillId="0" borderId="20" xfId="39" applyFont="1" applyFill="1" applyBorder="1" applyAlignment="1" applyProtection="1">
      <alignment vertical="center" wrapText="1"/>
      <protection hidden="1"/>
    </xf>
    <xf numFmtId="0" fontId="7" fillId="0" borderId="20" xfId="39" applyFont="1" applyFill="1" applyBorder="1" applyAlignment="1" applyProtection="1">
      <alignment horizontal="center" vertical="center" wrapText="1"/>
      <protection hidden="1"/>
    </xf>
    <xf numFmtId="4" fontId="7" fillId="0" borderId="20" xfId="39" applyNumberFormat="1" applyFont="1" applyFill="1" applyBorder="1" applyAlignment="1" applyProtection="1">
      <alignment horizontal="right" vertical="center" indent="1"/>
      <protection hidden="1"/>
    </xf>
    <xf numFmtId="0" fontId="0" fillId="0" borderId="0" xfId="39" applyFont="1" applyFill="1" applyAlignment="1">
      <alignment vertical="center" wrapText="1"/>
      <protection/>
    </xf>
    <xf numFmtId="0" fontId="7" fillId="0" borderId="20" xfId="39" applyNumberFormat="1" applyFont="1" applyFill="1" applyBorder="1" applyAlignment="1">
      <alignment horizontal="left" wrapText="1"/>
      <protection/>
    </xf>
    <xf numFmtId="0" fontId="7" fillId="0" borderId="20" xfId="39" applyNumberFormat="1" applyFont="1" applyFill="1" applyBorder="1" applyAlignment="1">
      <alignment horizontal="left" vertical="center" wrapText="1"/>
      <protection/>
    </xf>
    <xf numFmtId="49" fontId="27" fillId="0" borderId="20" xfId="69" applyNumberFormat="1" applyFont="1" applyFill="1" applyBorder="1" applyAlignment="1">
      <alignment horizontal="center" vertical="center"/>
      <protection/>
    </xf>
    <xf numFmtId="49" fontId="49" fillId="0" borderId="20" xfId="69" applyNumberFormat="1" applyFont="1" applyFill="1" applyBorder="1" applyAlignment="1">
      <alignment horizontal="center" vertical="center"/>
      <protection/>
    </xf>
    <xf numFmtId="0" fontId="7" fillId="0" borderId="20" xfId="39" applyFont="1" applyFill="1" applyBorder="1" applyAlignment="1">
      <alignment vertical="center" wrapText="1"/>
      <protection/>
    </xf>
    <xf numFmtId="4" fontId="7" fillId="0" borderId="20" xfId="0" applyNumberFormat="1" applyFont="1" applyFill="1" applyBorder="1" applyAlignment="1">
      <alignment horizontal="right" vertical="center" wrapText="1" indent="1"/>
    </xf>
    <xf numFmtId="0" fontId="34" fillId="0" borderId="20" xfId="32" applyFont="1" applyFill="1" applyBorder="1">
      <alignment/>
      <protection/>
    </xf>
    <xf numFmtId="0" fontId="34" fillId="0" borderId="20" xfId="69" applyNumberFormat="1" applyFont="1" applyFill="1" applyBorder="1" applyAlignment="1" applyProtection="1">
      <alignment wrapText="1"/>
      <protection hidden="1"/>
    </xf>
    <xf numFmtId="4" fontId="7" fillId="0" borderId="37" xfId="0" applyNumberFormat="1" applyFont="1" applyFill="1" applyBorder="1" applyAlignment="1">
      <alignment horizontal="right" vertical="center" indent="1"/>
    </xf>
    <xf numFmtId="0" fontId="11" fillId="11" borderId="41" xfId="37" applyFont="1" applyFill="1" applyBorder="1" applyAlignment="1">
      <alignment horizontal="center" vertical="center" wrapText="1"/>
      <protection/>
    </xf>
    <xf numFmtId="165" fontId="62" fillId="12" borderId="0" xfId="0" applyNumberFormat="1" applyFont="1" applyFill="1" applyBorder="1" applyAlignment="1">
      <alignment vertical="center"/>
    </xf>
    <xf numFmtId="165" fontId="62" fillId="0" borderId="0" xfId="0" applyNumberFormat="1" applyFont="1" applyFill="1" applyBorder="1" applyAlignment="1">
      <alignment vertical="center"/>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0" fontId="7" fillId="0" borderId="37" xfId="39" applyFont="1" applyFill="1" applyBorder="1" applyAlignment="1">
      <alignment wrapText="1"/>
      <protection/>
    </xf>
    <xf numFmtId="0" fontId="7" fillId="0" borderId="20" xfId="39" applyFont="1" applyFill="1" applyBorder="1" applyAlignment="1" applyProtection="1">
      <alignment vertical="center" wrapText="1"/>
      <protection hidden="1"/>
    </xf>
    <xf numFmtId="0" fontId="7" fillId="0" borderId="20" xfId="39" applyFont="1" applyFill="1" applyBorder="1" applyAlignment="1" applyProtection="1">
      <alignment horizontal="center" vertical="center" wrapText="1"/>
      <protection hidden="1"/>
    </xf>
    <xf numFmtId="4" fontId="7" fillId="0" borderId="37" xfId="39" applyNumberFormat="1" applyFont="1" applyFill="1" applyBorder="1" applyAlignment="1" applyProtection="1">
      <alignment horizontal="right" vertical="center" indent="1"/>
      <protection hidden="1"/>
    </xf>
    <xf numFmtId="165" fontId="59" fillId="0" borderId="0" xfId="38" applyNumberFormat="1" applyFont="1" applyFill="1" applyBorder="1" applyAlignment="1">
      <alignment vertical="center"/>
      <protection/>
    </xf>
    <xf numFmtId="0" fontId="12" fillId="0" borderId="0" xfId="0" applyFont="1" applyFill="1" applyAlignment="1">
      <alignment vertical="center"/>
    </xf>
    <xf numFmtId="0" fontId="7" fillId="0" borderId="41" xfId="37" applyFont="1" applyFill="1" applyBorder="1" applyAlignment="1">
      <alignment horizontal="center" vertical="center" wrapText="1"/>
      <protection/>
    </xf>
    <xf numFmtId="165" fontId="55" fillId="0" borderId="0" xfId="0" applyNumberFormat="1" applyFont="1" applyFill="1" applyAlignment="1">
      <alignment vertical="center"/>
    </xf>
    <xf numFmtId="165" fontId="12" fillId="0" borderId="0" xfId="0" applyNumberFormat="1" applyFont="1" applyFill="1" applyAlignment="1">
      <alignment vertical="center"/>
    </xf>
    <xf numFmtId="4" fontId="11" fillId="0" borderId="18" xfId="37" applyNumberFormat="1" applyFont="1" applyFill="1" applyBorder="1" applyAlignment="1">
      <alignment horizontal="right" vertical="center" wrapText="1" indent="1"/>
      <protection/>
    </xf>
    <xf numFmtId="165" fontId="54" fillId="0" borderId="0" xfId="38" applyNumberFormat="1" applyFont="1" applyAlignment="1">
      <alignment vertical="center" wrapText="1"/>
      <protection/>
    </xf>
    <xf numFmtId="165" fontId="65" fillId="0" borderId="0" xfId="0" applyNumberFormat="1" applyFont="1" applyFill="1" applyBorder="1" applyAlignment="1">
      <alignment vertical="center"/>
    </xf>
    <xf numFmtId="165" fontId="58" fillId="0" borderId="0" xfId="38" applyNumberFormat="1" applyFont="1" applyFill="1" applyBorder="1" applyAlignment="1">
      <alignment vertical="center"/>
      <protection/>
    </xf>
    <xf numFmtId="165" fontId="54" fillId="0" borderId="0" xfId="38" applyNumberFormat="1" applyFont="1" applyFill="1" applyAlignment="1">
      <alignment vertical="center"/>
      <protection/>
    </xf>
    <xf numFmtId="165" fontId="58" fillId="0" borderId="0" xfId="0" applyNumberFormat="1" applyFont="1" applyFill="1" applyAlignment="1">
      <alignment vertical="center"/>
    </xf>
    <xf numFmtId="165" fontId="56" fillId="0" borderId="0" xfId="38" applyNumberFormat="1" applyFont="1" applyFill="1" applyBorder="1" applyAlignment="1">
      <alignment vertical="center"/>
      <protection/>
    </xf>
    <xf numFmtId="0" fontId="7" fillId="0" borderId="20" xfId="37" applyFont="1" applyFill="1" applyBorder="1" applyAlignment="1">
      <alignment horizontal="center" vertical="center" wrapText="1"/>
      <protection/>
    </xf>
    <xf numFmtId="0" fontId="7" fillId="0" borderId="82" xfId="0" applyFont="1" applyFill="1" applyBorder="1" applyAlignment="1">
      <alignment vertical="center" wrapText="1"/>
    </xf>
    <xf numFmtId="49" fontId="53" fillId="0" borderId="79" xfId="37" applyNumberFormat="1" applyFont="1" applyFill="1" applyBorder="1" applyAlignment="1">
      <alignment horizontal="center" vertical="center" wrapText="1"/>
      <protection/>
    </xf>
    <xf numFmtId="0" fontId="53" fillId="0" borderId="83" xfId="0" applyFont="1" applyFill="1" applyBorder="1" applyAlignment="1">
      <alignment horizontal="left" vertical="center" wrapText="1"/>
    </xf>
    <xf numFmtId="0" fontId="7" fillId="0" borderId="84" xfId="0" applyFont="1" applyFill="1" applyBorder="1" applyAlignment="1">
      <alignment vertical="center" wrapText="1"/>
    </xf>
    <xf numFmtId="4" fontId="53" fillId="0" borderId="18" xfId="37" applyNumberFormat="1" applyFont="1" applyFill="1" applyBorder="1" applyAlignment="1">
      <alignment horizontal="right" vertical="center" indent="1"/>
      <protection/>
    </xf>
    <xf numFmtId="49" fontId="7" fillId="0" borderId="40" xfId="37" applyNumberFormat="1" applyFont="1" applyBorder="1" applyAlignment="1">
      <alignment horizontal="center" vertical="center" wrapText="1"/>
      <protection/>
    </xf>
    <xf numFmtId="4" fontId="7" fillId="0" borderId="41" xfId="37" applyNumberFormat="1" applyFont="1" applyBorder="1" applyAlignment="1">
      <alignment horizontal="right" vertical="center" wrapText="1" indent="1"/>
      <protection/>
    </xf>
    <xf numFmtId="4" fontId="7" fillId="0" borderId="41" xfId="37" applyNumberFormat="1" applyFont="1" applyFill="1" applyBorder="1" applyAlignment="1">
      <alignment horizontal="right" vertical="center" wrapText="1" indent="1"/>
      <protection/>
    </xf>
    <xf numFmtId="165" fontId="17" fillId="0" borderId="0" xfId="0" applyNumberFormat="1" applyFont="1" applyFill="1" applyAlignment="1">
      <alignment vertical="center" wrapText="1"/>
    </xf>
    <xf numFmtId="4" fontId="53" fillId="0" borderId="18" xfId="37" applyNumberFormat="1" applyFont="1" applyFill="1" applyBorder="1" applyAlignment="1">
      <alignment horizontal="right" vertical="center" wrapText="1" indent="1"/>
      <protection/>
    </xf>
    <xf numFmtId="165" fontId="55" fillId="0" borderId="0" xfId="0" applyNumberFormat="1" applyFont="1" applyFill="1" applyBorder="1" applyAlignment="1">
      <alignment vertical="center" wrapText="1"/>
    </xf>
    <xf numFmtId="165" fontId="55" fillId="0" borderId="0" xfId="0" applyNumberFormat="1" applyFont="1" applyFill="1" applyAlignment="1">
      <alignment vertical="center" wrapText="1"/>
    </xf>
    <xf numFmtId="0" fontId="55" fillId="0" borderId="0" xfId="0" applyFont="1" applyFill="1" applyAlignment="1">
      <alignment vertical="center" wrapText="1"/>
    </xf>
    <xf numFmtId="0" fontId="7" fillId="0" borderId="20" xfId="37" applyFont="1" applyFill="1" applyBorder="1" applyAlignment="1">
      <alignment horizontal="center" vertical="center" wrapText="1"/>
      <protection/>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0" fontId="7" fillId="0" borderId="20" xfId="0" applyFont="1" applyFill="1" applyBorder="1" applyAlignment="1">
      <alignment vertical="center" wrapText="1"/>
    </xf>
    <xf numFmtId="49" fontId="7" fillId="0" borderId="30" xfId="37" applyNumberFormat="1" applyFont="1" applyFill="1" applyBorder="1" applyAlignment="1">
      <alignment horizontal="center" vertical="center" wrapText="1"/>
      <protection/>
    </xf>
    <xf numFmtId="0" fontId="11" fillId="0" borderId="32" xfId="37" applyFont="1" applyFill="1" applyBorder="1" applyAlignment="1">
      <alignment vertical="center" wrapText="1"/>
      <protection/>
    </xf>
    <xf numFmtId="4" fontId="7" fillId="0" borderId="44" xfId="37" applyNumberFormat="1" applyFont="1" applyFill="1" applyBorder="1" applyAlignment="1">
      <alignment horizontal="right" vertical="center" wrapText="1" indent="1"/>
      <protection/>
    </xf>
    <xf numFmtId="0" fontId="6" fillId="2" borderId="13" xfId="39" applyFont="1" applyFill="1" applyBorder="1" applyAlignment="1">
      <alignment horizontal="left" vertical="center" wrapText="1"/>
      <protection/>
    </xf>
    <xf numFmtId="0" fontId="6" fillId="2" borderId="4" xfId="39" applyFont="1" applyFill="1" applyBorder="1" applyAlignment="1">
      <alignment horizontal="left" vertical="center" wrapText="1"/>
      <protection/>
    </xf>
    <xf numFmtId="4" fontId="7" fillId="0" borderId="37" xfId="39" applyNumberFormat="1" applyFont="1" applyFill="1" applyBorder="1" applyAlignment="1" applyProtection="1">
      <alignment horizontal="right" vertical="center" indent="1"/>
      <protection hidden="1"/>
    </xf>
    <xf numFmtId="0" fontId="7" fillId="0" borderId="37" xfId="37" applyFont="1" applyFill="1" applyBorder="1" applyAlignment="1">
      <alignment horizontal="center" vertical="center" wrapText="1"/>
      <protection/>
    </xf>
    <xf numFmtId="0" fontId="7" fillId="0" borderId="20" xfId="37" applyFont="1" applyFill="1" applyBorder="1" applyAlignment="1">
      <alignment vertical="center" wrapText="1"/>
      <protection/>
    </xf>
    <xf numFmtId="0" fontId="7" fillId="0" borderId="20" xfId="37" applyFont="1" applyFill="1" applyBorder="1" applyAlignment="1">
      <alignment horizontal="center" vertical="center" wrapText="1"/>
      <protection/>
    </xf>
    <xf numFmtId="4" fontId="7" fillId="0" borderId="37" xfId="0" applyNumberFormat="1" applyFont="1" applyFill="1" applyBorder="1" applyAlignment="1">
      <alignment horizontal="right" vertical="center" indent="1"/>
    </xf>
    <xf numFmtId="4" fontId="7" fillId="0" borderId="38" xfId="37" applyNumberFormat="1" applyFont="1" applyFill="1" applyBorder="1" applyAlignment="1">
      <alignment horizontal="right" vertical="center" indent="1"/>
      <protection/>
    </xf>
    <xf numFmtId="0" fontId="7" fillId="0" borderId="37" xfId="37" applyFont="1" applyFill="1" applyBorder="1" applyAlignment="1">
      <alignment vertical="center" wrapText="1"/>
      <protection/>
    </xf>
    <xf numFmtId="49" fontId="7" fillId="0" borderId="19" xfId="37" applyNumberFormat="1" applyFont="1" applyFill="1" applyBorder="1" applyAlignment="1">
      <alignment horizontal="center" vertical="center" wrapText="1"/>
      <protection/>
    </xf>
    <xf numFmtId="49" fontId="7" fillId="0" borderId="19" xfId="37" applyNumberFormat="1" applyFont="1" applyFill="1" applyBorder="1" applyAlignment="1">
      <alignment horizontal="center" vertical="center" wrapText="1"/>
      <protection/>
    </xf>
    <xf numFmtId="0" fontId="27" fillId="0" borderId="20" xfId="37" applyFont="1" applyFill="1" applyBorder="1" applyAlignment="1">
      <alignment horizontal="center" vertical="center" wrapText="1"/>
      <protection/>
    </xf>
    <xf numFmtId="0" fontId="27" fillId="0" borderId="20" xfId="0" applyFont="1" applyFill="1" applyBorder="1" applyAlignment="1">
      <alignment vertical="center" wrapText="1"/>
    </xf>
    <xf numFmtId="2" fontId="27" fillId="0" borderId="20" xfId="0" applyNumberFormat="1" applyFont="1" applyFill="1" applyBorder="1" applyAlignment="1">
      <alignment horizontal="center" vertical="center" wrapText="1"/>
    </xf>
    <xf numFmtId="4" fontId="27" fillId="0" borderId="20" xfId="0" applyNumberFormat="1" applyFont="1" applyFill="1" applyBorder="1" applyAlignment="1">
      <alignment horizontal="right" vertical="center" wrapText="1"/>
    </xf>
    <xf numFmtId="4" fontId="27" fillId="0" borderId="21" xfId="37" applyNumberFormat="1" applyFont="1" applyFill="1" applyBorder="1" applyAlignment="1">
      <alignment horizontal="right" vertical="center" wrapText="1"/>
      <protection/>
    </xf>
    <xf numFmtId="0" fontId="7" fillId="0" borderId="20" xfId="0" applyFont="1" applyFill="1" applyBorder="1" applyAlignment="1">
      <alignment vertical="center" wrapText="1"/>
    </xf>
    <xf numFmtId="0" fontId="7" fillId="0" borderId="20" xfId="37" applyFont="1" applyFill="1" applyBorder="1" applyAlignment="1">
      <alignment horizontal="center"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 fontId="7" fillId="0" borderId="21" xfId="37" applyNumberFormat="1" applyFont="1" applyFill="1" applyBorder="1" applyAlignment="1">
      <alignment horizontal="right" vertical="center" indent="1"/>
      <protection/>
    </xf>
    <xf numFmtId="4" fontId="7" fillId="0" borderId="72" xfId="0" applyNumberFormat="1" applyFont="1" applyFill="1" applyBorder="1" applyAlignment="1">
      <alignment horizontal="right" vertical="center" wrapText="1" indent="1"/>
    </xf>
    <xf numFmtId="165" fontId="66" fillId="0" borderId="0" xfId="0" applyNumberFormat="1" applyFont="1" applyFill="1" applyAlignment="1">
      <alignment vertical="center"/>
    </xf>
    <xf numFmtId="165" fontId="25" fillId="0" borderId="0" xfId="0" applyNumberFormat="1" applyFont="1" applyFill="1" applyAlignment="1">
      <alignment vertical="center"/>
    </xf>
    <xf numFmtId="0" fontId="7" fillId="0" borderId="41" xfId="37" applyFont="1" applyFill="1" applyBorder="1" applyAlignment="1">
      <alignment vertical="center" wrapText="1"/>
      <protection/>
    </xf>
    <xf numFmtId="0" fontId="7" fillId="0" borderId="85" xfId="37" applyFont="1" applyFill="1" applyBorder="1" applyAlignment="1">
      <alignment horizontal="center" vertical="center" wrapText="1"/>
      <protection/>
    </xf>
    <xf numFmtId="0" fontId="7" fillId="0" borderId="85" xfId="0" applyFont="1" applyFill="1" applyBorder="1" applyAlignment="1">
      <alignment vertical="center" wrapText="1"/>
    </xf>
    <xf numFmtId="4" fontId="7" fillId="0" borderId="85" xfId="0" applyNumberFormat="1" applyFont="1" applyFill="1" applyBorder="1" applyAlignment="1">
      <alignment horizontal="center" vertical="center" wrapText="1"/>
    </xf>
    <xf numFmtId="0" fontId="7" fillId="0" borderId="17" xfId="39" applyFont="1" applyFill="1" applyBorder="1" applyAlignment="1">
      <alignment vertical="center" wrapText="1"/>
      <protection/>
    </xf>
    <xf numFmtId="49" fontId="34" fillId="0" borderId="17" xfId="66" applyNumberFormat="1" applyFont="1" applyFill="1" applyBorder="1" applyAlignment="1">
      <alignment horizontal="center" vertical="center"/>
      <protection/>
    </xf>
    <xf numFmtId="4" fontId="7" fillId="0" borderId="41" xfId="37" applyNumberFormat="1" applyFont="1" applyBorder="1" applyAlignment="1">
      <alignment horizontal="right" vertical="center" wrapText="1"/>
      <protection/>
    </xf>
    <xf numFmtId="4" fontId="7" fillId="0" borderId="41" xfId="37" applyNumberFormat="1" applyFont="1" applyFill="1" applyBorder="1" applyAlignment="1">
      <alignment horizontal="right" vertical="center" wrapText="1"/>
      <protection/>
    </xf>
    <xf numFmtId="4" fontId="7" fillId="0" borderId="86" xfId="37" applyNumberFormat="1" applyFont="1" applyBorder="1" applyAlignment="1">
      <alignment horizontal="right" vertical="center" wrapText="1"/>
      <protection/>
    </xf>
    <xf numFmtId="4" fontId="61" fillId="0" borderId="0" xfId="0" applyNumberFormat="1" applyFont="1" applyFill="1" applyAlignment="1">
      <alignment horizontal="center" vertical="center"/>
    </xf>
    <xf numFmtId="4" fontId="61" fillId="0" borderId="0" xfId="0" applyNumberFormat="1" applyFont="1" applyFill="1" applyAlignment="1">
      <alignment horizontal="right" vertical="center" indent="1"/>
    </xf>
    <xf numFmtId="0" fontId="7" fillId="0" borderId="83" xfId="37" applyFont="1" applyFill="1" applyBorder="1" applyAlignment="1">
      <alignment vertical="center" wrapText="1"/>
      <protection/>
    </xf>
    <xf numFmtId="0" fontId="7" fillId="0" borderId="76" xfId="37" applyFont="1" applyFill="1" applyBorder="1" applyAlignment="1">
      <alignment horizontal="center" vertical="center" wrapText="1"/>
      <protection/>
    </xf>
    <xf numFmtId="0" fontId="27" fillId="0" borderId="20" xfId="0" applyFont="1" applyFill="1" applyBorder="1" applyAlignment="1">
      <alignment vertical="center" wrapText="1"/>
    </xf>
    <xf numFmtId="4" fontId="53" fillId="0" borderId="20" xfId="0" applyNumberFormat="1" applyFont="1" applyFill="1" applyBorder="1" applyAlignment="1">
      <alignment horizontal="right" vertical="center" indent="1"/>
    </xf>
    <xf numFmtId="0" fontId="7" fillId="0" borderId="20" xfId="38" applyFont="1" applyFill="1" applyBorder="1" applyAlignment="1">
      <alignment vertical="center" wrapText="1"/>
      <protection/>
    </xf>
    <xf numFmtId="0" fontId="7" fillId="0" borderId="20" xfId="38" applyFont="1" applyFill="1" applyBorder="1" applyAlignment="1">
      <alignment horizontal="center" vertical="center" wrapText="1"/>
      <protection/>
    </xf>
    <xf numFmtId="4" fontId="7" fillId="0" borderId="20" xfId="38" applyNumberFormat="1" applyFont="1" applyFill="1" applyBorder="1" applyAlignment="1">
      <alignment horizontal="right" vertical="center" wrapText="1" indent="1"/>
      <protection/>
    </xf>
    <xf numFmtId="0" fontId="27" fillId="0" borderId="20" xfId="37" applyFont="1" applyFill="1" applyBorder="1" applyAlignment="1">
      <alignment horizontal="center" vertical="center" wrapText="1"/>
      <protection/>
    </xf>
    <xf numFmtId="0" fontId="27" fillId="0" borderId="20" xfId="38" applyFont="1" applyFill="1" applyBorder="1" applyAlignment="1">
      <alignment vertical="center" wrapText="1"/>
      <protection/>
    </xf>
    <xf numFmtId="2" fontId="27" fillId="0" borderId="20" xfId="38" applyNumberFormat="1" applyFont="1" applyFill="1" applyBorder="1" applyAlignment="1">
      <alignment horizontal="center" vertical="center" wrapText="1"/>
      <protection/>
    </xf>
    <xf numFmtId="4" fontId="27" fillId="0" borderId="20" xfId="38" applyNumberFormat="1" applyFont="1" applyFill="1" applyBorder="1" applyAlignment="1">
      <alignment horizontal="right" vertical="center" wrapText="1" indent="1"/>
      <protection/>
    </xf>
    <xf numFmtId="0" fontId="7" fillId="0" borderId="20" xfId="37" applyNumberFormat="1" applyFont="1" applyFill="1" applyBorder="1" applyAlignment="1">
      <alignment horizontal="center" vertical="center" wrapText="1"/>
      <protection/>
    </xf>
    <xf numFmtId="0"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vertical="center" wrapText="1"/>
      <protection/>
    </xf>
    <xf numFmtId="4" fontId="7" fillId="0" borderId="20" xfId="37" applyNumberFormat="1" applyFont="1" applyFill="1" applyBorder="1" applyAlignment="1">
      <alignment horizontal="right" vertical="center" wrapText="1"/>
      <protection/>
    </xf>
    <xf numFmtId="4" fontId="7" fillId="0" borderId="21" xfId="37" applyNumberFormat="1" applyFont="1" applyFill="1" applyBorder="1" applyAlignment="1">
      <alignment horizontal="right" vertical="center" wrapText="1" indent="1"/>
      <protection/>
    </xf>
    <xf numFmtId="4" fontId="7" fillId="0" borderId="87" xfId="0" applyNumberFormat="1" applyFont="1" applyFill="1" applyBorder="1" applyAlignment="1">
      <alignment horizontal="right" vertical="center" wrapText="1" indent="1"/>
    </xf>
    <xf numFmtId="0" fontId="7" fillId="0" borderId="74" xfId="68" applyFont="1" applyFill="1" applyBorder="1" applyAlignment="1" applyProtection="1">
      <alignment horizontal="left" vertical="center" wrapText="1"/>
      <protection/>
    </xf>
    <xf numFmtId="0" fontId="7" fillId="0" borderId="74" xfId="39" applyFont="1" applyFill="1" applyBorder="1" applyAlignment="1">
      <alignment horizontal="center" vertical="center" wrapText="1"/>
      <protection/>
    </xf>
    <xf numFmtId="49" fontId="7" fillId="0" borderId="19" xfId="0" applyNumberFormat="1" applyFont="1" applyBorder="1" applyAlignment="1">
      <alignment horizontal="left" vertical="center" wrapText="1"/>
    </xf>
    <xf numFmtId="0" fontId="7" fillId="0" borderId="20" xfId="0" applyFont="1" applyBorder="1" applyAlignment="1">
      <alignment horizontal="center" vertical="center" wrapText="1"/>
    </xf>
    <xf numFmtId="0" fontId="11" fillId="0" borderId="20" xfId="0" applyFont="1" applyBorder="1" applyAlignment="1">
      <alignment horizontal="left" vertical="center" wrapText="1"/>
    </xf>
    <xf numFmtId="164" fontId="7" fillId="0" borderId="20" xfId="0" applyNumberFormat="1" applyFont="1" applyBorder="1" applyAlignment="1">
      <alignment horizontal="left" vertical="center" wrapText="1"/>
    </xf>
    <xf numFmtId="49" fontId="7" fillId="0" borderId="19" xfId="0" applyNumberFormat="1" applyFont="1" applyBorder="1" applyAlignment="1">
      <alignment vertical="center" wrapText="1"/>
    </xf>
    <xf numFmtId="0" fontId="7" fillId="0" borderId="20" xfId="0" applyFont="1" applyBorder="1" applyAlignment="1">
      <alignment horizontal="center" vertical="center" wrapText="1"/>
    </xf>
    <xf numFmtId="4" fontId="7" fillId="0" borderId="20" xfId="0" applyNumberFormat="1" applyFont="1" applyBorder="1" applyAlignment="1">
      <alignment vertical="center" wrapText="1"/>
    </xf>
    <xf numFmtId="164" fontId="7" fillId="2" borderId="20" xfId="0" applyNumberFormat="1" applyFont="1" applyFill="1" applyBorder="1" applyAlignment="1">
      <alignment vertical="center" wrapText="1"/>
    </xf>
    <xf numFmtId="164" fontId="7" fillId="0" borderId="21" xfId="0" applyNumberFormat="1" applyFont="1" applyBorder="1" applyAlignment="1">
      <alignment vertical="center" wrapText="1"/>
    </xf>
    <xf numFmtId="49" fontId="7" fillId="0" borderId="36" xfId="0" applyNumberFormat="1" applyFont="1" applyBorder="1" applyAlignment="1">
      <alignment vertical="center" wrapText="1"/>
    </xf>
    <xf numFmtId="0" fontId="7" fillId="0" borderId="37" xfId="0" applyFont="1" applyBorder="1" applyAlignment="1">
      <alignment horizontal="center" vertical="center" wrapText="1"/>
    </xf>
    <xf numFmtId="0" fontId="7" fillId="0" borderId="37" xfId="0" applyFont="1" applyFill="1" applyBorder="1" applyAlignment="1">
      <alignment wrapText="1"/>
    </xf>
    <xf numFmtId="4" fontId="7" fillId="0" borderId="37" xfId="0" applyNumberFormat="1" applyFont="1" applyBorder="1" applyAlignment="1">
      <alignment vertical="center" wrapText="1"/>
    </xf>
    <xf numFmtId="164" fontId="7" fillId="2" borderId="37" xfId="0" applyNumberFormat="1" applyFont="1" applyFill="1" applyBorder="1" applyAlignment="1">
      <alignment vertical="center" wrapText="1"/>
    </xf>
    <xf numFmtId="164" fontId="7" fillId="0" borderId="38" xfId="0" applyNumberFormat="1" applyFont="1" applyBorder="1" applyAlignment="1">
      <alignment vertical="center" wrapText="1"/>
    </xf>
    <xf numFmtId="0" fontId="7" fillId="0" borderId="20" xfId="0" applyFont="1" applyBorder="1" applyAlignment="1">
      <alignment vertical="center" wrapText="1"/>
    </xf>
    <xf numFmtId="0" fontId="0" fillId="0" borderId="20" xfId="73" applyFont="1" applyFill="1" applyBorder="1" applyAlignment="1">
      <alignment vertical="center" wrapText="1"/>
      <protection/>
    </xf>
    <xf numFmtId="49" fontId="7" fillId="0" borderId="19" xfId="37" applyNumberFormat="1" applyFont="1" applyBorder="1" applyAlignment="1">
      <alignment vertical="center" wrapText="1"/>
      <protection/>
    </xf>
    <xf numFmtId="0" fontId="7" fillId="0" borderId="20" xfId="37" applyFont="1" applyBorder="1" applyAlignment="1">
      <alignment horizontal="center" vertical="center" wrapText="1"/>
      <protection/>
    </xf>
    <xf numFmtId="0" fontId="6" fillId="0" borderId="20" xfId="37" applyFont="1" applyBorder="1" applyAlignment="1">
      <alignment vertical="center" wrapText="1"/>
      <protection/>
    </xf>
    <xf numFmtId="164" fontId="7" fillId="0" borderId="20" xfId="37" applyNumberFormat="1" applyFont="1" applyBorder="1" applyAlignment="1">
      <alignment vertical="center" wrapText="1"/>
      <protection/>
    </xf>
    <xf numFmtId="0" fontId="11" fillId="0" borderId="20" xfId="37" applyFont="1" applyBorder="1" applyAlignment="1">
      <alignment vertical="center" wrapText="1"/>
      <protection/>
    </xf>
    <xf numFmtId="0" fontId="7" fillId="0" borderId="20" xfId="37" applyFont="1" applyFill="1" applyBorder="1" applyAlignment="1">
      <alignment vertical="center" wrapText="1"/>
      <protection/>
    </xf>
    <xf numFmtId="4" fontId="7" fillId="0" borderId="20" xfId="37" applyNumberFormat="1" applyFont="1" applyBorder="1" applyAlignment="1">
      <alignment vertical="center" wrapText="1"/>
      <protection/>
    </xf>
    <xf numFmtId="2" fontId="27" fillId="0" borderId="20" xfId="0" applyNumberFormat="1" applyFont="1" applyFill="1" applyBorder="1" applyAlignment="1">
      <alignment horizontal="center" vertical="center" wrapText="1"/>
    </xf>
    <xf numFmtId="49" fontId="7" fillId="0" borderId="36" xfId="37" applyNumberFormat="1" applyFont="1" applyBorder="1" applyAlignment="1">
      <alignment horizontal="center" vertical="center" wrapText="1"/>
      <protection/>
    </xf>
    <xf numFmtId="0" fontId="7" fillId="0" borderId="37" xfId="37" applyFont="1" applyFill="1" applyBorder="1" applyAlignment="1">
      <alignment horizontal="center" wrapText="1"/>
      <protection/>
    </xf>
    <xf numFmtId="0" fontId="7" fillId="0" borderId="20" xfId="39" applyFont="1" applyFill="1" applyBorder="1" applyAlignment="1">
      <alignment vertical="center" wrapText="1"/>
      <protection/>
    </xf>
    <xf numFmtId="49" fontId="34" fillId="0" borderId="20" xfId="66" applyNumberFormat="1" applyFont="1" applyFill="1" applyBorder="1" applyAlignment="1">
      <alignment horizontal="center" vertical="center"/>
      <protection/>
    </xf>
    <xf numFmtId="4" fontId="7" fillId="0" borderId="37" xfId="37" applyNumberFormat="1" applyFont="1" applyBorder="1" applyAlignment="1">
      <alignment horizontal="right" vertical="center" wrapText="1" indent="1"/>
      <protection/>
    </xf>
    <xf numFmtId="4" fontId="7" fillId="0" borderId="38" xfId="37" applyNumberFormat="1" applyFont="1" applyBorder="1" applyAlignment="1">
      <alignment horizontal="right" vertical="center" wrapText="1" indent="1"/>
      <protection/>
    </xf>
    <xf numFmtId="49" fontId="7" fillId="0" borderId="88" xfId="37" applyNumberFormat="1" applyFont="1" applyFill="1" applyBorder="1" applyAlignment="1">
      <alignment horizontal="center" vertical="center" wrapText="1"/>
      <protection/>
    </xf>
    <xf numFmtId="4" fontId="7" fillId="0" borderId="89" xfId="37" applyNumberFormat="1" applyFont="1" applyFill="1" applyBorder="1" applyAlignment="1">
      <alignment horizontal="right" vertical="center" wrapText="1" indent="1"/>
      <protection/>
    </xf>
    <xf numFmtId="0" fontId="31" fillId="0" borderId="74" xfId="68" applyFont="1" applyFill="1" applyBorder="1" applyAlignment="1" applyProtection="1">
      <alignment horizontal="left" vertical="center" wrapText="1"/>
      <protection/>
    </xf>
    <xf numFmtId="0" fontId="7" fillId="0" borderId="82" xfId="68" applyFont="1" applyFill="1" applyBorder="1" applyAlignment="1" applyProtection="1">
      <alignment horizontal="left" vertical="center" wrapText="1"/>
      <protection/>
    </xf>
    <xf numFmtId="49" fontId="31" fillId="0" borderId="36" xfId="37" applyNumberFormat="1" applyFont="1" applyFill="1" applyBorder="1" applyAlignment="1">
      <alignment horizontal="center" vertical="center" wrapText="1"/>
      <protection/>
    </xf>
    <xf numFmtId="0" fontId="44" fillId="0" borderId="37" xfId="37" applyFont="1" applyFill="1" applyBorder="1" applyAlignment="1">
      <alignment horizontal="center" vertical="center" wrapText="1"/>
      <protection/>
    </xf>
    <xf numFmtId="2" fontId="44" fillId="0" borderId="20" xfId="38" applyNumberFormat="1" applyFont="1" applyFill="1" applyBorder="1" applyAlignment="1">
      <alignment horizontal="center" vertical="center" wrapText="1"/>
      <protection/>
    </xf>
    <xf numFmtId="4" fontId="44" fillId="0" borderId="37" xfId="38" applyNumberFormat="1" applyFont="1" applyFill="1" applyBorder="1" applyAlignment="1">
      <alignment horizontal="right" vertical="center" wrapText="1" indent="1"/>
      <protection/>
    </xf>
    <xf numFmtId="4" fontId="44" fillId="0" borderId="38" xfId="37" applyNumberFormat="1" applyFont="1" applyFill="1" applyBorder="1" applyAlignment="1">
      <alignment horizontal="right" vertical="center" wrapText="1" indent="1"/>
      <protection/>
    </xf>
    <xf numFmtId="4" fontId="7" fillId="0" borderId="20" xfId="39" applyNumberFormat="1" applyFont="1" applyBorder="1" applyAlignment="1">
      <alignment horizontal="right" vertical="center" wrapText="1" indent="1"/>
      <protection/>
    </xf>
    <xf numFmtId="4" fontId="7" fillId="0" borderId="20" xfId="39" applyNumberFormat="1" applyFont="1" applyFill="1" applyBorder="1" applyAlignment="1">
      <alignment horizontal="right" vertical="center" wrapText="1" indent="1"/>
      <protection/>
    </xf>
    <xf numFmtId="4" fontId="7" fillId="0" borderId="21" xfId="39" applyNumberFormat="1" applyFont="1" applyBorder="1" applyAlignment="1">
      <alignment horizontal="right" vertical="center" wrapText="1" indent="1"/>
      <protection/>
    </xf>
    <xf numFmtId="49" fontId="7" fillId="0" borderId="19" xfId="37" applyNumberFormat="1" applyFont="1" applyBorder="1" applyAlignment="1">
      <alignment horizontal="center" vertical="center" wrapText="1"/>
      <protection/>
    </xf>
    <xf numFmtId="0" fontId="7" fillId="0" borderId="20" xfId="37" applyFont="1" applyBorder="1" applyAlignment="1">
      <alignment vertical="center" wrapText="1"/>
      <protection/>
    </xf>
    <xf numFmtId="49" fontId="7" fillId="0" borderId="19" xfId="38" applyNumberFormat="1" applyFont="1" applyBorder="1" applyAlignment="1">
      <alignment horizontal="left" vertical="center" wrapText="1"/>
      <protection/>
    </xf>
    <xf numFmtId="0" fontId="7" fillId="0" borderId="20" xfId="38" applyFont="1" applyBorder="1" applyAlignment="1">
      <alignment horizontal="center" vertical="center" wrapText="1"/>
      <protection/>
    </xf>
    <xf numFmtId="0" fontId="11" fillId="0" borderId="20" xfId="38" applyFont="1" applyBorder="1" applyAlignment="1">
      <alignment horizontal="left" vertical="center" wrapText="1"/>
      <protection/>
    </xf>
    <xf numFmtId="164" fontId="7" fillId="0" borderId="20" xfId="38" applyNumberFormat="1" applyFont="1" applyBorder="1" applyAlignment="1">
      <alignment horizontal="left" vertical="center" wrapText="1"/>
      <protection/>
    </xf>
    <xf numFmtId="49" fontId="7" fillId="0" borderId="19" xfId="38" applyNumberFormat="1" applyFont="1" applyBorder="1" applyAlignment="1">
      <alignment vertical="center" wrapText="1"/>
      <protection/>
    </xf>
    <xf numFmtId="0" fontId="7" fillId="0" borderId="20" xfId="38" applyFont="1" applyBorder="1" applyAlignment="1">
      <alignment horizontal="center" vertical="center" wrapText="1"/>
      <protection/>
    </xf>
    <xf numFmtId="4" fontId="7" fillId="0" borderId="20" xfId="38" applyNumberFormat="1" applyFont="1" applyBorder="1" applyAlignment="1">
      <alignment vertical="center" wrapText="1"/>
      <protection/>
    </xf>
    <xf numFmtId="164" fontId="7" fillId="2" borderId="20" xfId="38" applyNumberFormat="1" applyFont="1" applyFill="1" applyBorder="1" applyAlignment="1">
      <alignment vertical="center" wrapText="1"/>
      <protection/>
    </xf>
    <xf numFmtId="164" fontId="7" fillId="0" borderId="21" xfId="38" applyNumberFormat="1" applyFont="1" applyBorder="1" applyAlignment="1">
      <alignment vertical="center" wrapText="1"/>
      <protection/>
    </xf>
    <xf numFmtId="49" fontId="7" fillId="0" borderId="36" xfId="38" applyNumberFormat="1" applyFont="1" applyBorder="1" applyAlignment="1">
      <alignment vertical="center" wrapText="1"/>
      <protection/>
    </xf>
    <xf numFmtId="0" fontId="7" fillId="0" borderId="37" xfId="38" applyFont="1" applyBorder="1" applyAlignment="1">
      <alignment horizontal="center" vertical="center" wrapText="1"/>
      <protection/>
    </xf>
    <xf numFmtId="0" fontId="7" fillId="0" borderId="37" xfId="38" applyFont="1" applyFill="1" applyBorder="1" applyAlignment="1">
      <alignment wrapText="1"/>
      <protection/>
    </xf>
    <xf numFmtId="4" fontId="7" fillId="0" borderId="37" xfId="38" applyNumberFormat="1" applyFont="1" applyBorder="1" applyAlignment="1">
      <alignment vertical="center" wrapText="1"/>
      <protection/>
    </xf>
    <xf numFmtId="164" fontId="7" fillId="2" borderId="37" xfId="38" applyNumberFormat="1" applyFont="1" applyFill="1" applyBorder="1" applyAlignment="1">
      <alignment vertical="center" wrapText="1"/>
      <protection/>
    </xf>
    <xf numFmtId="164" fontId="7" fillId="0" borderId="38" xfId="38" applyNumberFormat="1" applyFont="1" applyBorder="1" applyAlignment="1">
      <alignment vertical="center" wrapText="1"/>
      <protection/>
    </xf>
    <xf numFmtId="0" fontId="7" fillId="0" borderId="20" xfId="38" applyFont="1" applyBorder="1" applyAlignment="1">
      <alignment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0" fontId="53" fillId="0" borderId="20" xfId="37" applyFont="1" applyFill="1" applyBorder="1" applyAlignment="1">
      <alignment horizontal="center" vertical="center" wrapText="1"/>
      <protection/>
    </xf>
    <xf numFmtId="0" fontId="53" fillId="0" borderId="20" xfId="0" applyFont="1" applyFill="1" applyBorder="1" applyAlignment="1">
      <alignment vertical="center" wrapText="1"/>
    </xf>
    <xf numFmtId="4" fontId="53" fillId="0" borderId="20" xfId="0" applyNumberFormat="1" applyFont="1" applyFill="1" applyBorder="1" applyAlignment="1">
      <alignment horizontal="right" vertical="center" wrapText="1" indent="1"/>
    </xf>
    <xf numFmtId="4" fontId="53" fillId="0" borderId="20" xfId="0" applyNumberFormat="1" applyFont="1" applyFill="1" applyBorder="1" applyAlignment="1">
      <alignment horizontal="right" vertical="center" indent="1"/>
    </xf>
    <xf numFmtId="2" fontId="7" fillId="0" borderId="20" xfId="0" applyNumberFormat="1" applyFont="1" applyFill="1" applyBorder="1" applyAlignment="1">
      <alignment horizontal="center" vertical="center" wrapText="1"/>
    </xf>
    <xf numFmtId="4" fontId="27" fillId="0" borderId="20" xfId="38" applyNumberFormat="1" applyFont="1" applyFill="1" applyBorder="1" applyAlignment="1">
      <alignment horizontal="right" vertical="center" wrapText="1"/>
      <protection/>
    </xf>
    <xf numFmtId="4" fontId="7" fillId="0" borderId="20" xfId="38" applyNumberFormat="1" applyFont="1" applyFill="1" applyBorder="1" applyAlignment="1">
      <alignment horizontal="right" vertical="center" indent="1"/>
      <protection/>
    </xf>
    <xf numFmtId="4" fontId="27" fillId="0" borderId="20" xfId="0" applyNumberFormat="1" applyFont="1" applyFill="1" applyBorder="1" applyAlignment="1">
      <alignment horizontal="right" vertical="center" wrapText="1"/>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53" fillId="0" borderId="72" xfId="37" applyFont="1" applyFill="1" applyBorder="1" applyAlignment="1">
      <alignment horizontal="center" vertical="center" wrapText="1"/>
      <protection/>
    </xf>
    <xf numFmtId="0" fontId="53" fillId="0" borderId="74" xfId="0" applyFont="1" applyFill="1" applyBorder="1" applyAlignment="1">
      <alignment vertical="center" wrapText="1"/>
    </xf>
    <xf numFmtId="4" fontId="53" fillId="0" borderId="74" xfId="0" applyNumberFormat="1" applyFont="1" applyFill="1" applyBorder="1" applyAlignment="1">
      <alignment horizontal="center" vertical="center" wrapText="1"/>
    </xf>
    <xf numFmtId="4" fontId="53" fillId="0" borderId="72" xfId="0" applyNumberFormat="1" applyFont="1" applyFill="1" applyBorder="1" applyAlignment="1">
      <alignment horizontal="right" vertical="center" wrapText="1" indent="1"/>
    </xf>
    <xf numFmtId="4" fontId="53"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7" fillId="0" borderId="72" xfId="37" applyFont="1" applyFill="1" applyBorder="1" applyAlignment="1">
      <alignment horizontal="center" vertical="center" wrapText="1"/>
      <protection/>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53" fillId="0" borderId="72" xfId="37" applyFont="1" applyFill="1" applyBorder="1" applyAlignment="1">
      <alignment horizontal="center" vertical="center" wrapText="1"/>
      <protection/>
    </xf>
    <xf numFmtId="0" fontId="53" fillId="0" borderId="74" xfId="0" applyFont="1" applyFill="1" applyBorder="1" applyAlignment="1">
      <alignment horizontal="left" vertical="center" wrapText="1"/>
    </xf>
    <xf numFmtId="4" fontId="53" fillId="0" borderId="74" xfId="0" applyNumberFormat="1" applyFont="1" applyFill="1" applyBorder="1" applyAlignment="1">
      <alignment horizontal="center" vertical="center" wrapText="1"/>
    </xf>
    <xf numFmtId="4" fontId="53" fillId="0" borderId="72" xfId="0" applyNumberFormat="1" applyFont="1" applyFill="1" applyBorder="1" applyAlignment="1">
      <alignment horizontal="right" vertical="center" wrapText="1" indent="1"/>
    </xf>
    <xf numFmtId="4" fontId="53"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27" fillId="0" borderId="20" xfId="37" applyFont="1" applyFill="1" applyBorder="1" applyAlignment="1">
      <alignment horizontal="center" vertical="center" wrapText="1"/>
      <protection/>
    </xf>
    <xf numFmtId="0" fontId="27" fillId="0" borderId="20" xfId="38" applyFont="1" applyFill="1" applyBorder="1" applyAlignment="1">
      <alignment vertical="center" wrapText="1"/>
      <protection/>
    </xf>
    <xf numFmtId="2" fontId="27" fillId="0" borderId="20" xfId="38" applyNumberFormat="1" applyFont="1" applyFill="1" applyBorder="1" applyAlignment="1">
      <alignment horizontal="center" vertical="center" wrapText="1"/>
      <protection/>
    </xf>
    <xf numFmtId="4" fontId="27" fillId="0" borderId="20" xfId="38" applyNumberFormat="1" applyFont="1" applyFill="1" applyBorder="1" applyAlignment="1">
      <alignment horizontal="right" vertical="center" wrapText="1" indent="1"/>
      <protection/>
    </xf>
    <xf numFmtId="4" fontId="27" fillId="0" borderId="21" xfId="37" applyNumberFormat="1" applyFont="1" applyFill="1" applyBorder="1" applyAlignment="1">
      <alignment horizontal="right" vertical="center" wrapText="1" indent="1"/>
      <protection/>
    </xf>
    <xf numFmtId="0" fontId="7" fillId="0" borderId="20" xfId="37" applyFont="1" applyFill="1" applyBorder="1" applyAlignment="1">
      <alignment horizontal="center" vertical="center" wrapText="1"/>
      <protection/>
    </xf>
    <xf numFmtId="0" fontId="7" fillId="0" borderId="20" xfId="38" applyFont="1" applyFill="1" applyBorder="1" applyAlignment="1">
      <alignment vertical="center" wrapText="1"/>
      <protection/>
    </xf>
    <xf numFmtId="0" fontId="7" fillId="0" borderId="20" xfId="38" applyFont="1" applyFill="1" applyBorder="1" applyAlignment="1">
      <alignment horizontal="center" vertical="center" wrapText="1"/>
      <protection/>
    </xf>
    <xf numFmtId="4" fontId="7" fillId="0" borderId="20" xfId="38" applyNumberFormat="1" applyFont="1" applyFill="1" applyBorder="1" applyAlignment="1">
      <alignment horizontal="right" vertical="center" indent="1"/>
      <protection/>
    </xf>
    <xf numFmtId="4" fontId="7" fillId="0" borderId="21" xfId="37" applyNumberFormat="1" applyFont="1" applyFill="1" applyBorder="1" applyAlignment="1">
      <alignment horizontal="right" vertical="center" inden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0" fontId="7" fillId="0" borderId="20" xfId="37" applyFont="1" applyFill="1" applyBorder="1" applyAlignment="1">
      <alignment horizontal="center"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9" fontId="7" fillId="0" borderId="36" xfId="37" applyNumberFormat="1" applyFont="1" applyBorder="1" applyAlignment="1">
      <alignment horizontal="center" vertical="center" wrapText="1"/>
      <protection/>
    </xf>
    <xf numFmtId="0" fontId="7" fillId="0" borderId="37" xfId="37" applyFont="1" applyFill="1" applyBorder="1" applyAlignment="1">
      <alignment horizontal="center" wrapText="1"/>
      <protection/>
    </xf>
    <xf numFmtId="0" fontId="7" fillId="0" borderId="20" xfId="39" applyFont="1" applyFill="1" applyBorder="1" applyAlignment="1">
      <alignment vertical="center" wrapText="1"/>
      <protection/>
    </xf>
    <xf numFmtId="49" fontId="34" fillId="0" borderId="20" xfId="66" applyNumberFormat="1" applyFont="1" applyFill="1" applyBorder="1" applyAlignment="1">
      <alignment horizontal="center" vertical="center"/>
      <protection/>
    </xf>
    <xf numFmtId="4" fontId="7" fillId="0" borderId="37" xfId="37" applyNumberFormat="1" applyFont="1" applyBorder="1" applyAlignment="1">
      <alignment horizontal="right" vertical="center" wrapText="1" indent="1"/>
      <protection/>
    </xf>
    <xf numFmtId="4" fontId="7" fillId="0" borderId="37" xfId="37" applyNumberFormat="1" applyFont="1" applyFill="1" applyBorder="1" applyAlignment="1">
      <alignment horizontal="right" vertical="center" wrapText="1" indent="1"/>
      <protection/>
    </xf>
    <xf numFmtId="4" fontId="7" fillId="0" borderId="38" xfId="37" applyNumberFormat="1" applyFont="1" applyBorder="1" applyAlignment="1">
      <alignment horizontal="right" vertical="center" wrapText="1" indent="1"/>
      <protection/>
    </xf>
    <xf numFmtId="49" fontId="53" fillId="0" borderId="19" xfId="37" applyNumberFormat="1" applyFont="1" applyFill="1" applyBorder="1" applyAlignment="1">
      <alignment horizontal="center" vertical="center" wrapText="1"/>
      <protection/>
    </xf>
    <xf numFmtId="0" fontId="53" fillId="0" borderId="20" xfId="37" applyFont="1" applyFill="1" applyBorder="1" applyAlignment="1">
      <alignment horizontal="center" vertical="center" wrapText="1"/>
      <protection/>
    </xf>
    <xf numFmtId="0" fontId="53" fillId="0" borderId="20" xfId="0" applyFont="1" applyFill="1" applyBorder="1" applyAlignment="1">
      <alignment vertical="center" wrapText="1"/>
    </xf>
    <xf numFmtId="0" fontId="53" fillId="0" borderId="20" xfId="0" applyFont="1" applyFill="1" applyBorder="1" applyAlignment="1">
      <alignment horizontal="center" vertical="center" wrapText="1"/>
    </xf>
    <xf numFmtId="4" fontId="53" fillId="0" borderId="20" xfId="0" applyNumberFormat="1" applyFont="1" applyFill="1" applyBorder="1" applyAlignment="1">
      <alignment horizontal="right" vertical="center" indent="1"/>
    </xf>
    <xf numFmtId="4" fontId="53" fillId="0" borderId="21" xfId="37" applyNumberFormat="1" applyFont="1" applyFill="1" applyBorder="1" applyAlignment="1">
      <alignment horizontal="right" vertical="center" indent="1"/>
      <protection/>
    </xf>
    <xf numFmtId="0" fontId="7" fillId="0" borderId="20" xfId="37" applyFont="1" applyFill="1" applyBorder="1" applyAlignment="1">
      <alignment horizontal="center" wrapText="1"/>
      <protection/>
    </xf>
    <xf numFmtId="0" fontId="7" fillId="0" borderId="20" xfId="37" applyFont="1" applyFill="1" applyBorder="1" applyAlignment="1">
      <alignment vertical="center" wrapText="1"/>
      <protection/>
    </xf>
    <xf numFmtId="4" fontId="7" fillId="0" borderId="20" xfId="37" applyNumberFormat="1" applyFont="1" applyFill="1" applyBorder="1" applyAlignment="1">
      <alignment horizontal="right" vertical="center" wrapText="1" indent="1"/>
      <protection/>
    </xf>
    <xf numFmtId="4" fontId="7" fillId="0" borderId="21" xfId="37" applyNumberFormat="1" applyFont="1" applyFill="1" applyBorder="1" applyAlignment="1">
      <alignment horizontal="right" vertical="center" wrapText="1" indent="1"/>
      <protection/>
    </xf>
    <xf numFmtId="0" fontId="7" fillId="0" borderId="72" xfId="37" applyFont="1" applyFill="1" applyBorder="1" applyAlignment="1">
      <alignment horizontal="center" vertical="center" wrapText="1"/>
      <protection/>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7" fillId="0" borderId="72" xfId="37" applyFont="1" applyFill="1" applyBorder="1" applyAlignment="1">
      <alignment horizontal="center" vertical="center" wrapText="1"/>
      <protection/>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0" fontId="7" fillId="0" borderId="20" xfId="37" applyFont="1" applyFill="1" applyBorder="1" applyAlignment="1">
      <alignment vertical="center" wrapText="1"/>
      <protection/>
    </xf>
    <xf numFmtId="4" fontId="7" fillId="0" borderId="20" xfId="37" applyNumberFormat="1" applyFont="1" applyFill="1" applyBorder="1" applyAlignment="1">
      <alignment horizontal="right" vertical="center" wrapText="1" indent="1"/>
      <protection/>
    </xf>
    <xf numFmtId="0" fontId="7" fillId="0" borderId="20" xfId="37" applyFont="1" applyFill="1" applyBorder="1" applyAlignment="1">
      <alignment horizontal="center" wrapText="1"/>
      <protection/>
    </xf>
    <xf numFmtId="0" fontId="1" fillId="0" borderId="0" xfId="76" applyFill="1" applyBorder="1" applyAlignment="1">
      <alignment vertical="center" wrapText="1"/>
      <protection/>
    </xf>
    <xf numFmtId="4" fontId="7" fillId="0" borderId="21" xfId="37" applyNumberFormat="1" applyFont="1" applyFill="1" applyBorder="1" applyAlignment="1">
      <alignment horizontal="right" vertical="center" wrapText="1" indent="1"/>
      <protection/>
    </xf>
    <xf numFmtId="0" fontId="7" fillId="0" borderId="20" xfId="37" applyFont="1" applyFill="1" applyBorder="1" applyAlignment="1">
      <alignment horizontal="center"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 fontId="7" fillId="0" borderId="21" xfId="37" applyNumberFormat="1" applyFont="1" applyFill="1" applyBorder="1" applyAlignment="1">
      <alignment horizontal="right" vertical="center" indent="1"/>
      <protection/>
    </xf>
    <xf numFmtId="0" fontId="53" fillId="0" borderId="20" xfId="37" applyFont="1" applyFill="1" applyBorder="1" applyAlignment="1">
      <alignment horizontal="center" vertical="center" wrapText="1"/>
      <protection/>
    </xf>
    <xf numFmtId="0" fontId="53" fillId="0" borderId="20" xfId="0" applyFont="1" applyFill="1" applyBorder="1" applyAlignment="1">
      <alignment vertical="center" wrapText="1"/>
    </xf>
    <xf numFmtId="4" fontId="53" fillId="0" borderId="20" xfId="0" applyNumberFormat="1" applyFont="1" applyFill="1" applyBorder="1" applyAlignment="1">
      <alignment horizontal="right" vertical="center" wrapText="1" indent="1"/>
    </xf>
    <xf numFmtId="4" fontId="53" fillId="0" borderId="20" xfId="0" applyNumberFormat="1" applyFont="1" applyFill="1" applyBorder="1" applyAlignment="1">
      <alignment horizontal="right" vertical="center" indent="1"/>
    </xf>
    <xf numFmtId="4" fontId="53" fillId="0" borderId="21" xfId="37" applyNumberFormat="1" applyFont="1" applyFill="1" applyBorder="1" applyAlignment="1">
      <alignment horizontal="right" vertical="center" indent="1"/>
      <protection/>
    </xf>
    <xf numFmtId="0" fontId="53" fillId="0" borderId="20" xfId="37" applyFont="1" applyFill="1" applyBorder="1" applyAlignment="1">
      <alignment horizontal="center" vertical="center" wrapText="1"/>
      <protection/>
    </xf>
    <xf numFmtId="4" fontId="53" fillId="0" borderId="20" xfId="0" applyNumberFormat="1" applyFont="1" applyFill="1" applyBorder="1" applyAlignment="1">
      <alignment horizontal="right" vertical="center" indent="1"/>
    </xf>
    <xf numFmtId="4" fontId="53" fillId="0" borderId="20" xfId="0" applyNumberFormat="1" applyFont="1" applyFill="1" applyBorder="1" applyAlignment="1">
      <alignment horizontal="right" vertical="center" indent="1"/>
    </xf>
    <xf numFmtId="4" fontId="53" fillId="0" borderId="21" xfId="37" applyNumberFormat="1" applyFont="1" applyFill="1" applyBorder="1" applyAlignment="1">
      <alignment horizontal="right" vertical="center" indent="1"/>
      <protection/>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0" fontId="7" fillId="0" borderId="82"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9" fontId="53" fillId="0" borderId="91" xfId="37" applyNumberFormat="1" applyFont="1" applyFill="1" applyBorder="1" applyAlignment="1">
      <alignment horizontal="center" vertical="center" wrapText="1"/>
      <protection/>
    </xf>
    <xf numFmtId="0" fontId="53" fillId="0" borderId="74" xfId="37" applyFont="1" applyFill="1" applyBorder="1" applyAlignment="1">
      <alignment horizontal="center" vertical="center" wrapText="1"/>
      <protection/>
    </xf>
    <xf numFmtId="0" fontId="53" fillId="0" borderId="74" xfId="0" applyFont="1" applyFill="1" applyBorder="1" applyAlignment="1">
      <alignment vertical="center" wrapText="1"/>
    </xf>
    <xf numFmtId="4" fontId="53" fillId="0" borderId="74" xfId="0" applyNumberFormat="1" applyFont="1" applyFill="1" applyBorder="1" applyAlignment="1">
      <alignment horizontal="center" vertical="center" wrapText="1"/>
    </xf>
    <xf numFmtId="4" fontId="53" fillId="0" borderId="74" xfId="0" applyNumberFormat="1" applyFont="1" applyFill="1" applyBorder="1" applyAlignment="1">
      <alignment horizontal="right" vertical="center" wrapText="1" indent="1"/>
    </xf>
    <xf numFmtId="4" fontId="53" fillId="0" borderId="90" xfId="37" applyNumberFormat="1" applyFont="1" applyFill="1" applyBorder="1" applyAlignment="1">
      <alignment horizontal="right" vertical="center" wrapText="1" indent="1"/>
      <protection/>
    </xf>
    <xf numFmtId="4" fontId="7" fillId="0" borderId="90" xfId="37" applyNumberFormat="1" applyFont="1" applyFill="1" applyBorder="1" applyAlignment="1">
      <alignment horizontal="right" vertical="center" indent="1"/>
      <protection/>
    </xf>
    <xf numFmtId="0" fontId="7" fillId="0" borderId="37" xfId="37" applyFont="1" applyFill="1" applyBorder="1" applyAlignment="1">
      <alignment horizontal="center" vertical="center" wrapText="1"/>
      <protection/>
    </xf>
    <xf numFmtId="4" fontId="7" fillId="0" borderId="72"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89" xfId="37" applyNumberFormat="1" applyFont="1" applyFill="1" applyBorder="1" applyAlignment="1">
      <alignment horizontal="right" vertical="center" wrapText="1" indent="1"/>
      <protection/>
    </xf>
    <xf numFmtId="0" fontId="7" fillId="0" borderId="74" xfId="37" applyFont="1" applyFill="1" applyBorder="1" applyAlignment="1">
      <alignment horizontal="center" wrapText="1"/>
      <protection/>
    </xf>
    <xf numFmtId="0" fontId="7" fillId="0" borderId="74" xfId="37" applyFont="1" applyFill="1" applyBorder="1" applyAlignment="1">
      <alignment vertical="center" wrapText="1"/>
      <protection/>
    </xf>
    <xf numFmtId="4" fontId="53" fillId="0" borderId="74" xfId="0" applyNumberFormat="1" applyFont="1" applyFill="1" applyBorder="1" applyAlignment="1">
      <alignment horizontal="right" vertical="center" wrapText="1" indent="1"/>
    </xf>
    <xf numFmtId="4" fontId="7" fillId="0" borderId="74" xfId="37" applyNumberFormat="1" applyFont="1" applyFill="1" applyBorder="1" applyAlignment="1">
      <alignment horizontal="right" vertical="center" wrapText="1" indent="1"/>
      <protection/>
    </xf>
    <xf numFmtId="4" fontId="7"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7" fillId="0" borderId="74" xfId="37" applyFont="1" applyFill="1" applyBorder="1" applyAlignment="1">
      <alignment horizontal="center" vertical="center" wrapText="1"/>
      <protection/>
    </xf>
    <xf numFmtId="0" fontId="7" fillId="0" borderId="74" xfId="0" applyFont="1" applyFill="1" applyBorder="1" applyAlignment="1">
      <alignment vertical="center" wrapText="1"/>
    </xf>
    <xf numFmtId="0" fontId="7" fillId="0" borderId="74" xfId="0" applyFont="1" applyFill="1" applyBorder="1" applyAlignment="1">
      <alignment horizontal="center" vertical="center" wrapText="1"/>
    </xf>
    <xf numFmtId="4" fontId="7" fillId="0" borderId="74" xfId="0" applyNumberFormat="1" applyFont="1" applyFill="1" applyBorder="1" applyAlignment="1">
      <alignment horizontal="right" vertical="center" indent="1"/>
    </xf>
    <xf numFmtId="4" fontId="7" fillId="0" borderId="90" xfId="37" applyNumberFormat="1" applyFont="1" applyFill="1" applyBorder="1" applyAlignment="1">
      <alignment horizontal="right" vertical="center" indent="1"/>
      <protection/>
    </xf>
    <xf numFmtId="0" fontId="7" fillId="0" borderId="74" xfId="37" applyFont="1" applyFill="1" applyBorder="1" applyAlignment="1">
      <alignment horizontal="center" vertical="center" wrapText="1"/>
      <protection/>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4"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 fontId="7" fillId="0" borderId="89" xfId="37" applyNumberFormat="1" applyFont="1" applyFill="1" applyBorder="1" applyAlignment="1">
      <alignment horizontal="right" vertical="center" indent="1"/>
      <protection/>
    </xf>
    <xf numFmtId="0" fontId="7" fillId="0" borderId="20" xfId="37" applyFont="1" applyFill="1" applyBorder="1" applyAlignment="1">
      <alignment horizontal="center" vertical="center" wrapText="1"/>
      <protection/>
    </xf>
    <xf numFmtId="0" fontId="7" fillId="0" borderId="20" xfId="37" applyFont="1" applyFill="1" applyBorder="1" applyAlignment="1">
      <alignment vertical="center" wrapText="1"/>
      <protection/>
    </xf>
    <xf numFmtId="4" fontId="7" fillId="0" borderId="20" xfId="37" applyNumberFormat="1" applyFont="1" applyFill="1" applyBorder="1" applyAlignment="1">
      <alignment horizontal="right" vertical="center" wrapText="1" indent="1"/>
      <protection/>
    </xf>
    <xf numFmtId="4" fontId="7" fillId="0" borderId="37" xfId="37" applyNumberFormat="1" applyFont="1" applyFill="1" applyBorder="1" applyAlignment="1">
      <alignment horizontal="right" vertical="center" wrapText="1" indent="1"/>
      <protection/>
    </xf>
    <xf numFmtId="4" fontId="7" fillId="0" borderId="92" xfId="37" applyNumberFormat="1" applyFont="1" applyFill="1" applyBorder="1" applyAlignment="1">
      <alignment horizontal="right" vertical="center" wrapText="1" indent="1"/>
      <protection/>
    </xf>
    <xf numFmtId="4" fontId="7" fillId="0" borderId="21" xfId="37" applyNumberFormat="1" applyFont="1" applyFill="1" applyBorder="1" applyAlignment="1">
      <alignment horizontal="right" vertical="center" indent="1"/>
      <protection/>
    </xf>
    <xf numFmtId="4" fontId="7" fillId="0" borderId="20" xfId="0" applyNumberFormat="1" applyFont="1" applyFill="1" applyBorder="1" applyAlignment="1">
      <alignment horizontal="right" vertical="center" wrapText="1" indent="1"/>
    </xf>
    <xf numFmtId="4" fontId="7" fillId="0" borderId="21" xfId="37" applyNumberFormat="1" applyFont="1" applyFill="1" applyBorder="1" applyAlignment="1">
      <alignment horizontal="right" vertical="center" wrapText="1" indent="1"/>
      <protection/>
    </xf>
    <xf numFmtId="49" fontId="7" fillId="0" borderId="36" xfId="37" applyNumberFormat="1" applyFont="1" applyFill="1" applyBorder="1" applyAlignment="1">
      <alignment horizontal="center" vertical="center" wrapText="1"/>
      <protection/>
    </xf>
    <xf numFmtId="0" fontId="7" fillId="0" borderId="37" xfId="37" applyFont="1" applyFill="1" applyBorder="1" applyAlignment="1">
      <alignment horizontal="center" wrapText="1"/>
      <protection/>
    </xf>
    <xf numFmtId="0" fontId="7" fillId="0" borderId="20" xfId="39" applyFont="1" applyFill="1" applyBorder="1" applyAlignment="1">
      <alignment vertical="center" wrapText="1"/>
      <protection/>
    </xf>
    <xf numFmtId="49" fontId="34" fillId="0" borderId="20" xfId="66" applyNumberFormat="1" applyFont="1" applyFill="1" applyBorder="1" applyAlignment="1">
      <alignment horizontal="center" vertical="center"/>
      <protection/>
    </xf>
    <xf numFmtId="4" fontId="7" fillId="0" borderId="38" xfId="37" applyNumberFormat="1" applyFont="1" applyFill="1" applyBorder="1" applyAlignment="1">
      <alignment horizontal="right" vertical="center" wrapText="1" indent="1"/>
      <protection/>
    </xf>
    <xf numFmtId="0" fontId="7" fillId="0" borderId="20" xfId="38" applyFont="1" applyFill="1" applyBorder="1" applyAlignment="1">
      <alignment horizontal="center" vertical="center" wrapText="1"/>
      <protection/>
    </xf>
    <xf numFmtId="4" fontId="7" fillId="0" borderId="20" xfId="38" applyNumberFormat="1" applyFont="1" applyFill="1" applyBorder="1" applyAlignment="1">
      <alignment horizontal="right" vertical="center" wrapText="1" indent="1"/>
      <protection/>
    </xf>
    <xf numFmtId="4" fontId="7" fillId="0" borderId="21" xfId="37" applyNumberFormat="1" applyFont="1" applyFill="1" applyBorder="1" applyAlignment="1">
      <alignment horizontal="right" vertical="center" wrapText="1" indent="1"/>
      <protection/>
    </xf>
    <xf numFmtId="49" fontId="7" fillId="0" borderId="36" xfId="37" applyNumberFormat="1" applyFont="1" applyBorder="1" applyAlignment="1">
      <alignment horizontal="center" vertical="center" wrapText="1"/>
      <protection/>
    </xf>
    <xf numFmtId="4" fontId="7" fillId="0" borderId="37" xfId="37" applyNumberFormat="1" applyFont="1" applyBorder="1" applyAlignment="1">
      <alignment horizontal="right" vertical="center" wrapText="1" indent="1"/>
      <protection/>
    </xf>
    <xf numFmtId="4" fontId="7" fillId="0" borderId="38" xfId="37" applyNumberFormat="1" applyFont="1" applyBorder="1" applyAlignment="1">
      <alignment horizontal="right" vertical="center" wrapText="1" indent="1"/>
      <protection/>
    </xf>
    <xf numFmtId="49" fontId="7" fillId="0" borderId="91" xfId="37" applyNumberFormat="1" applyFont="1" applyFill="1" applyBorder="1" applyAlignment="1">
      <alignment horizontal="center" vertical="center" wrapText="1"/>
      <protection/>
    </xf>
    <xf numFmtId="0" fontId="7" fillId="0" borderId="72" xfId="37" applyFont="1" applyFill="1" applyBorder="1" applyAlignment="1">
      <alignment horizontal="center" vertical="center" wrapText="1"/>
      <protection/>
    </xf>
    <xf numFmtId="49" fontId="53" fillId="0" borderId="91" xfId="37" applyNumberFormat="1" applyFont="1" applyFill="1" applyBorder="1" applyAlignment="1">
      <alignment horizontal="center" vertical="center" wrapText="1"/>
      <protection/>
    </xf>
    <xf numFmtId="0" fontId="53" fillId="0" borderId="74" xfId="37" applyFont="1" applyFill="1" applyBorder="1" applyAlignment="1">
      <alignment horizontal="center" vertical="center" wrapText="1"/>
      <protection/>
    </xf>
    <xf numFmtId="0" fontId="53" fillId="0" borderId="74" xfId="0" applyFont="1" applyFill="1" applyBorder="1" applyAlignment="1">
      <alignment vertical="center" wrapText="1"/>
    </xf>
    <xf numFmtId="4" fontId="53" fillId="0" borderId="74" xfId="0" applyNumberFormat="1" applyFont="1" applyFill="1" applyBorder="1" applyAlignment="1">
      <alignment horizontal="center" vertical="center" wrapText="1"/>
    </xf>
    <xf numFmtId="4" fontId="53" fillId="0" borderId="90" xfId="37" applyNumberFormat="1" applyFont="1" applyFill="1" applyBorder="1" applyAlignment="1">
      <alignment horizontal="right" vertical="center" wrapText="1" indent="1"/>
      <protection/>
    </xf>
    <xf numFmtId="0" fontId="53" fillId="0" borderId="72" xfId="37" applyFont="1" applyFill="1" applyBorder="1" applyAlignment="1">
      <alignment horizontal="center" vertical="center" wrapText="1"/>
      <protection/>
    </xf>
    <xf numFmtId="4" fontId="53" fillId="0" borderId="72" xfId="0" applyNumberFormat="1" applyFont="1" applyFill="1" applyBorder="1" applyAlignment="1">
      <alignment horizontal="right" vertical="center" wrapText="1" indent="1"/>
    </xf>
    <xf numFmtId="0" fontId="53" fillId="0" borderId="74" xfId="0" applyFont="1" applyFill="1" applyBorder="1" applyAlignment="1">
      <alignment horizontal="lef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9" fontId="11" fillId="0" borderId="19" xfId="37" applyNumberFormat="1" applyFont="1" applyFill="1" applyBorder="1" applyAlignment="1">
      <alignment horizontal="center" vertical="center" wrapText="1"/>
      <protection/>
    </xf>
    <xf numFmtId="0" fontId="11" fillId="0" borderId="72" xfId="37" applyFont="1" applyFill="1" applyBorder="1" applyAlignment="1">
      <alignment horizontal="center" vertical="center" wrapText="1"/>
      <protection/>
    </xf>
    <xf numFmtId="0" fontId="11" fillId="0" borderId="74" xfId="0" applyFont="1" applyFill="1" applyBorder="1" applyAlignment="1">
      <alignment vertical="center" wrapText="1"/>
    </xf>
    <xf numFmtId="4" fontId="11" fillId="0" borderId="74" xfId="0" applyNumberFormat="1" applyFont="1" applyFill="1" applyBorder="1" applyAlignment="1">
      <alignment horizontal="center" vertical="center" wrapText="1"/>
    </xf>
    <xf numFmtId="4" fontId="11" fillId="0" borderId="72" xfId="0" applyNumberFormat="1" applyFont="1" applyFill="1" applyBorder="1" applyAlignment="1">
      <alignment horizontal="right" vertical="center" wrapText="1" indent="1"/>
    </xf>
    <xf numFmtId="4" fontId="11" fillId="0" borderId="90" xfId="37" applyNumberFormat="1" applyFont="1" applyFill="1" applyBorder="1" applyAlignment="1">
      <alignment horizontal="right" vertical="center" wrapText="1" indent="1"/>
      <protection/>
    </xf>
    <xf numFmtId="49" fontId="7" fillId="0" borderId="91" xfId="37" applyNumberFormat="1" applyFont="1" applyFill="1" applyBorder="1" applyAlignment="1">
      <alignment horizontal="center" vertical="center" wrapText="1"/>
      <protection/>
    </xf>
    <xf numFmtId="0" fontId="7" fillId="0" borderId="72" xfId="37" applyFont="1" applyFill="1" applyBorder="1" applyAlignment="1">
      <alignment horizontal="center" vertical="center" wrapText="1"/>
      <protection/>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9" fontId="31" fillId="0" borderId="91" xfId="37" applyNumberFormat="1" applyFont="1" applyFill="1" applyBorder="1" applyAlignment="1">
      <alignment horizontal="center" vertical="center" wrapText="1"/>
      <protection/>
    </xf>
    <xf numFmtId="0" fontId="31" fillId="0" borderId="72" xfId="37" applyFont="1" applyFill="1" applyBorder="1" applyAlignment="1">
      <alignment horizontal="center" vertical="center" wrapText="1"/>
      <protection/>
    </xf>
    <xf numFmtId="0" fontId="31" fillId="0" borderId="74" xfId="0" applyFont="1" applyFill="1" applyBorder="1" applyAlignment="1">
      <alignment vertical="center" wrapText="1"/>
    </xf>
    <xf numFmtId="4" fontId="31" fillId="0" borderId="74" xfId="0" applyNumberFormat="1" applyFont="1" applyFill="1" applyBorder="1" applyAlignment="1">
      <alignment horizontal="center" vertical="center" wrapText="1"/>
    </xf>
    <xf numFmtId="4" fontId="31" fillId="0" borderId="72" xfId="0" applyNumberFormat="1" applyFont="1" applyFill="1" applyBorder="1" applyAlignment="1">
      <alignment horizontal="right" vertical="center" wrapText="1" indent="1"/>
    </xf>
    <xf numFmtId="4" fontId="31" fillId="0" borderId="90" xfId="37" applyNumberFormat="1" applyFont="1" applyFill="1" applyBorder="1" applyAlignment="1">
      <alignment horizontal="right" vertical="center" wrapText="1" indent="1"/>
      <protection/>
    </xf>
    <xf numFmtId="49" fontId="7" fillId="0" borderId="88" xfId="37" applyNumberFormat="1" applyFont="1" applyFill="1" applyBorder="1" applyAlignment="1">
      <alignment horizontal="center" vertical="center" wrapText="1"/>
      <protection/>
    </xf>
    <xf numFmtId="0" fontId="31" fillId="0" borderId="74" xfId="68" applyFont="1" applyFill="1" applyBorder="1" applyAlignment="1" applyProtection="1">
      <alignment horizontal="left" vertical="center" wrapText="1"/>
      <protection/>
    </xf>
    <xf numFmtId="0" fontId="7" fillId="0" borderId="74" xfId="39" applyFont="1" applyFill="1" applyBorder="1" applyAlignment="1">
      <alignment horizontal="center" vertical="center" wrapText="1"/>
      <protection/>
    </xf>
    <xf numFmtId="4" fontId="7" fillId="0" borderId="72" xfId="37" applyNumberFormat="1" applyFont="1" applyFill="1" applyBorder="1" applyAlignment="1">
      <alignment horizontal="right" vertical="center" wrapText="1" indent="1"/>
      <protection/>
    </xf>
    <xf numFmtId="0" fontId="7" fillId="0" borderId="72" xfId="37" applyFont="1" applyFill="1" applyBorder="1" applyAlignment="1">
      <alignment horizontal="center" vertical="center" wrapText="1"/>
      <protection/>
    </xf>
    <xf numFmtId="0" fontId="7" fillId="0" borderId="74" xfId="68" applyFont="1" applyFill="1" applyBorder="1" applyAlignment="1" applyProtection="1">
      <alignment horizontal="left" vertical="center" wrapText="1"/>
      <protection/>
    </xf>
    <xf numFmtId="49" fontId="53" fillId="0" borderId="88" xfId="37" applyNumberFormat="1" applyFont="1" applyFill="1" applyBorder="1" applyAlignment="1">
      <alignment horizontal="center" vertical="center" wrapText="1"/>
      <protection/>
    </xf>
    <xf numFmtId="0" fontId="53" fillId="0" borderId="74" xfId="68" applyFont="1" applyFill="1" applyBorder="1" applyAlignment="1" applyProtection="1">
      <alignment horizontal="left" vertical="center" wrapText="1"/>
      <protection/>
    </xf>
    <xf numFmtId="4" fontId="53" fillId="0" borderId="74" xfId="39" applyNumberFormat="1" applyFont="1" applyFill="1" applyBorder="1" applyAlignment="1">
      <alignment horizontal="center" vertical="center" wrapText="1"/>
      <protection/>
    </xf>
    <xf numFmtId="4" fontId="53" fillId="0" borderId="72" xfId="37" applyNumberFormat="1" applyFont="1" applyFill="1" applyBorder="1" applyAlignment="1">
      <alignment horizontal="right" vertical="center" wrapText="1" indent="1"/>
      <protection/>
    </xf>
    <xf numFmtId="4" fontId="53" fillId="0" borderId="89" xfId="37" applyNumberFormat="1" applyFont="1" applyFill="1" applyBorder="1" applyAlignment="1">
      <alignment horizontal="right" vertical="center" wrapText="1" indent="1"/>
      <protection/>
    </xf>
    <xf numFmtId="0" fontId="11" fillId="0" borderId="72" xfId="37" applyFont="1" applyFill="1" applyBorder="1" applyAlignment="1">
      <alignment horizontal="center" vertical="center" wrapText="1"/>
      <protection/>
    </xf>
    <xf numFmtId="49" fontId="7" fillId="0" borderId="36" xfId="37" applyNumberFormat="1" applyFont="1" applyBorder="1" applyAlignment="1">
      <alignment horizontal="center" vertical="center" wrapText="1"/>
      <protection/>
    </xf>
    <xf numFmtId="0" fontId="7" fillId="0" borderId="37" xfId="37" applyFont="1" applyFill="1" applyBorder="1" applyAlignment="1">
      <alignment horizontal="center" wrapText="1"/>
      <protection/>
    </xf>
    <xf numFmtId="0" fontId="7" fillId="0" borderId="20" xfId="39" applyFont="1" applyFill="1" applyBorder="1" applyAlignment="1">
      <alignment vertical="center" wrapText="1"/>
      <protection/>
    </xf>
    <xf numFmtId="49" fontId="34" fillId="0" borderId="20" xfId="66" applyNumberFormat="1" applyFont="1" applyFill="1" applyBorder="1" applyAlignment="1">
      <alignment horizontal="center" vertical="center"/>
      <protection/>
    </xf>
    <xf numFmtId="4" fontId="7" fillId="0" borderId="37" xfId="37" applyNumberFormat="1" applyFont="1" applyBorder="1" applyAlignment="1">
      <alignment horizontal="right" vertical="center" wrapText="1" indent="1"/>
      <protection/>
    </xf>
    <xf numFmtId="4" fontId="7" fillId="0" borderId="37" xfId="37" applyNumberFormat="1" applyFont="1" applyFill="1" applyBorder="1" applyAlignment="1">
      <alignment horizontal="right" vertical="center" wrapText="1" indent="1"/>
      <protection/>
    </xf>
    <xf numFmtId="4" fontId="7" fillId="0" borderId="38" xfId="37" applyNumberFormat="1" applyFont="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 fontId="7" fillId="0" borderId="90" xfId="37" applyNumberFormat="1" applyFont="1" applyFill="1" applyBorder="1" applyAlignment="1">
      <alignment horizontal="right" vertical="center" wrapText="1" indent="1"/>
      <protection/>
    </xf>
    <xf numFmtId="49" fontId="53" fillId="0" borderId="91" xfId="37" applyNumberFormat="1" applyFont="1" applyFill="1" applyBorder="1" applyAlignment="1">
      <alignment horizontal="center" vertical="center" wrapText="1"/>
      <protection/>
    </xf>
    <xf numFmtId="0" fontId="53" fillId="0" borderId="74" xfId="0" applyFont="1" applyFill="1" applyBorder="1" applyAlignment="1">
      <alignment vertical="center" wrapText="1"/>
    </xf>
    <xf numFmtId="4" fontId="53" fillId="0" borderId="74" xfId="0" applyNumberFormat="1" applyFont="1" applyFill="1" applyBorder="1" applyAlignment="1">
      <alignment horizontal="center" vertical="center" wrapText="1"/>
    </xf>
    <xf numFmtId="4" fontId="53" fillId="0" borderId="90" xfId="37" applyNumberFormat="1" applyFont="1" applyFill="1" applyBorder="1" applyAlignment="1">
      <alignment horizontal="right" vertical="center" wrapText="1" indent="1"/>
      <protection/>
    </xf>
    <xf numFmtId="0" fontId="7" fillId="0" borderId="74" xfId="37" applyFont="1" applyFill="1" applyBorder="1" applyAlignment="1">
      <alignment horizontal="center" vertical="center" wrapText="1"/>
      <protection/>
    </xf>
    <xf numFmtId="49" fontId="34" fillId="0" borderId="74" xfId="66" applyNumberFormat="1" applyFont="1" applyFill="1" applyBorder="1" applyAlignment="1">
      <alignment vertical="center" wrapText="1"/>
      <protection/>
    </xf>
    <xf numFmtId="4" fontId="7" fillId="0" borderId="74" xfId="37" applyNumberFormat="1" applyFont="1" applyFill="1" applyBorder="1" applyAlignment="1">
      <alignment horizontal="right" vertical="center" wrapText="1" indent="1"/>
      <protection/>
    </xf>
    <xf numFmtId="0" fontId="7" fillId="0" borderId="72" xfId="37" applyFont="1" applyFill="1" applyBorder="1" applyAlignment="1">
      <alignment horizontal="center" vertical="center" wrapText="1"/>
      <protection/>
    </xf>
    <xf numFmtId="4" fontId="7" fillId="0" borderId="72" xfId="0" applyNumberFormat="1" applyFont="1" applyFill="1" applyBorder="1" applyAlignment="1">
      <alignment horizontal="right" vertical="center" wrapText="1" indent="1"/>
    </xf>
    <xf numFmtId="49" fontId="7" fillId="0" borderId="19" xfId="37" applyNumberFormat="1" applyFont="1" applyFill="1" applyBorder="1" applyAlignment="1">
      <alignment horizontal="center" vertical="center" wrapText="1"/>
      <protection/>
    </xf>
    <xf numFmtId="0" fontId="7" fillId="0" borderId="72" xfId="37" applyFont="1" applyFill="1" applyBorder="1" applyAlignment="1">
      <alignment horizontal="center"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0" fontId="7" fillId="0" borderId="20" xfId="37" applyFont="1" applyFill="1" applyBorder="1" applyAlignment="1">
      <alignment horizontal="center" vertical="center" wrapText="1"/>
      <protection/>
    </xf>
    <xf numFmtId="49" fontId="7" fillId="0" borderId="36" xfId="37" applyNumberFormat="1" applyFont="1" applyFill="1" applyBorder="1" applyAlignment="1">
      <alignment horizontal="center" vertical="center" wrapText="1"/>
      <protection/>
    </xf>
    <xf numFmtId="0" fontId="7" fillId="0" borderId="37" xfId="37" applyFont="1" applyFill="1" applyBorder="1" applyAlignment="1">
      <alignment horizontal="center" wrapText="1"/>
      <protection/>
    </xf>
    <xf numFmtId="0" fontId="7" fillId="0" borderId="20" xfId="39" applyFont="1" applyFill="1" applyBorder="1" applyAlignment="1">
      <alignment vertical="center" wrapText="1"/>
      <protection/>
    </xf>
    <xf numFmtId="49" fontId="34" fillId="0" borderId="20" xfId="66" applyNumberFormat="1" applyFont="1" applyFill="1" applyBorder="1" applyAlignment="1">
      <alignment horizontal="center" vertical="center"/>
      <protection/>
    </xf>
    <xf numFmtId="4" fontId="7" fillId="0" borderId="37" xfId="37" applyNumberFormat="1" applyFont="1" applyFill="1" applyBorder="1" applyAlignment="1">
      <alignment horizontal="right" vertical="center" wrapText="1" indent="1"/>
      <protection/>
    </xf>
    <xf numFmtId="4" fontId="7" fillId="0" borderId="38" xfId="37" applyNumberFormat="1" applyFont="1" applyFill="1" applyBorder="1" applyAlignment="1">
      <alignment horizontal="right" vertical="center" wrapText="1" indent="1"/>
      <protection/>
    </xf>
    <xf numFmtId="49" fontId="11" fillId="0" borderId="19" xfId="37" applyNumberFormat="1" applyFont="1" applyFill="1" applyBorder="1" applyAlignment="1">
      <alignment horizontal="center" vertical="center" wrapText="1"/>
      <protection/>
    </xf>
    <xf numFmtId="0" fontId="11" fillId="0" borderId="20" xfId="37" applyFont="1" applyFill="1" applyBorder="1" applyAlignment="1">
      <alignment horizontal="center" vertical="center" wrapText="1"/>
      <protection/>
    </xf>
    <xf numFmtId="0" fontId="11" fillId="0" borderId="20" xfId="0" applyFont="1" applyFill="1" applyBorder="1" applyAlignment="1">
      <alignment vertical="center" wrapText="1"/>
    </xf>
    <xf numFmtId="0" fontId="11" fillId="0" borderId="20" xfId="0" applyFont="1" applyFill="1" applyBorder="1" applyAlignment="1">
      <alignment horizontal="center" vertical="center" wrapText="1"/>
    </xf>
    <xf numFmtId="4" fontId="11" fillId="0" borderId="20" xfId="0" applyNumberFormat="1" applyFont="1" applyFill="1" applyBorder="1" applyAlignment="1">
      <alignment horizontal="right" vertical="center" indent="1"/>
    </xf>
    <xf numFmtId="4" fontId="11" fillId="0" borderId="21" xfId="37" applyNumberFormat="1" applyFont="1" applyFill="1" applyBorder="1" applyAlignment="1">
      <alignment horizontal="right" vertical="center" indent="1"/>
      <protection/>
    </xf>
    <xf numFmtId="4" fontId="7" fillId="0" borderId="21" xfId="37" applyNumberFormat="1" applyFont="1" applyFill="1" applyBorder="1" applyAlignment="1">
      <alignment horizontal="right" vertical="center" indent="1"/>
      <protection/>
    </xf>
    <xf numFmtId="49" fontId="53" fillId="0" borderId="91" xfId="37" applyNumberFormat="1" applyFont="1" applyFill="1" applyBorder="1" applyAlignment="1">
      <alignment horizontal="center" vertical="center" wrapText="1"/>
      <protection/>
    </xf>
    <xf numFmtId="4" fontId="53" fillId="0" borderId="90" xfId="37" applyNumberFormat="1" applyFont="1" applyFill="1" applyBorder="1" applyAlignment="1">
      <alignment horizontal="right" vertical="center" wrapText="1" indent="1"/>
      <protection/>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9" fontId="53" fillId="0" borderId="91" xfId="37" applyNumberFormat="1" applyFont="1" applyFill="1" applyBorder="1" applyAlignment="1">
      <alignment horizontal="center" vertical="center" wrapText="1"/>
      <protection/>
    </xf>
    <xf numFmtId="0" fontId="53" fillId="0" borderId="72" xfId="37" applyFont="1" applyFill="1" applyBorder="1" applyAlignment="1">
      <alignment horizontal="center" vertical="center" wrapText="1"/>
      <protection/>
    </xf>
    <xf numFmtId="0" fontId="53" fillId="0" borderId="74" xfId="0" applyFont="1" applyFill="1" applyBorder="1" applyAlignment="1">
      <alignment vertical="center" wrapText="1"/>
    </xf>
    <xf numFmtId="4" fontId="53" fillId="0" borderId="74" xfId="0" applyNumberFormat="1" applyFont="1" applyFill="1" applyBorder="1" applyAlignment="1">
      <alignment horizontal="center" vertical="center" wrapText="1"/>
    </xf>
    <xf numFmtId="4" fontId="53" fillId="0" borderId="72" xfId="0" applyNumberFormat="1" applyFont="1" applyFill="1" applyBorder="1" applyAlignment="1">
      <alignment horizontal="right" vertical="center" wrapText="1" indent="1"/>
    </xf>
    <xf numFmtId="4" fontId="53"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7" fillId="0" borderId="72" xfId="37" applyFont="1" applyFill="1" applyBorder="1" applyAlignment="1">
      <alignment horizontal="center" vertical="center" wrapText="1"/>
      <protection/>
    </xf>
    <xf numFmtId="0" fontId="7" fillId="0" borderId="74" xfId="0" applyFont="1" applyFill="1" applyBorder="1" applyAlignment="1">
      <alignment vertical="center" wrapText="1"/>
    </xf>
    <xf numFmtId="4" fontId="7" fillId="0" borderId="74" xfId="0" applyNumberFormat="1" applyFont="1" applyFill="1" applyBorder="1" applyAlignment="1">
      <alignment horizontal="center" vertical="center" wrapText="1"/>
    </xf>
    <xf numFmtId="4" fontId="7" fillId="0" borderId="72" xfId="0" applyNumberFormat="1" applyFont="1" applyFill="1" applyBorder="1" applyAlignment="1">
      <alignment horizontal="right" vertical="center" wrapText="1" indent="1"/>
    </xf>
    <xf numFmtId="4" fontId="7" fillId="0" borderId="90" xfId="37" applyNumberFormat="1" applyFont="1" applyFill="1" applyBorder="1" applyAlignment="1">
      <alignment horizontal="right" vertical="center" wrapText="1" indent="1"/>
      <protection/>
    </xf>
    <xf numFmtId="49" fontId="53" fillId="0" borderId="91" xfId="37" applyNumberFormat="1" applyFont="1" applyFill="1" applyBorder="1" applyAlignment="1">
      <alignment horizontal="center" vertical="center" wrapText="1"/>
      <protection/>
    </xf>
    <xf numFmtId="0" fontId="53" fillId="0" borderId="72" xfId="37" applyFont="1" applyFill="1" applyBorder="1" applyAlignment="1">
      <alignment horizontal="center" vertical="center" wrapText="1"/>
      <protection/>
    </xf>
    <xf numFmtId="0" fontId="53" fillId="0" borderId="74" xfId="0" applyFont="1" applyFill="1" applyBorder="1" applyAlignment="1">
      <alignment vertical="center" wrapText="1"/>
    </xf>
    <xf numFmtId="4" fontId="53" fillId="0" borderId="74" xfId="0" applyNumberFormat="1" applyFont="1" applyFill="1" applyBorder="1" applyAlignment="1">
      <alignment horizontal="center" vertical="center" wrapText="1"/>
    </xf>
    <xf numFmtId="4" fontId="53" fillId="0" borderId="72" xfId="0" applyNumberFormat="1" applyFont="1" applyFill="1" applyBorder="1" applyAlignment="1">
      <alignment horizontal="right" vertical="center" wrapText="1" indent="1"/>
    </xf>
    <xf numFmtId="4" fontId="53" fillId="0" borderId="90" xfId="37" applyNumberFormat="1" applyFont="1" applyFill="1" applyBorder="1" applyAlignment="1">
      <alignment horizontal="right" vertical="center" wrapText="1" indent="1"/>
      <protection/>
    </xf>
    <xf numFmtId="49" fontId="7" fillId="0" borderId="19" xfId="37" applyNumberFormat="1"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4" fontId="7" fillId="0" borderId="20" xfId="0" applyNumberFormat="1" applyFont="1" applyFill="1" applyBorder="1" applyAlignment="1">
      <alignment horizontal="right" vertical="center" indent="1"/>
    </xf>
    <xf numFmtId="4" fontId="7" fillId="0" borderId="21" xfId="37" applyNumberFormat="1" applyFont="1" applyFill="1" applyBorder="1" applyAlignment="1">
      <alignment horizontal="right" vertical="center" indent="1"/>
      <protection/>
    </xf>
    <xf numFmtId="49" fontId="11" fillId="0" borderId="19" xfId="37" applyNumberFormat="1" applyFont="1" applyFill="1" applyBorder="1" applyAlignment="1">
      <alignment horizontal="center" vertical="center" wrapText="1"/>
      <protection/>
    </xf>
    <xf numFmtId="0" fontId="11" fillId="0" borderId="20" xfId="37" applyFont="1" applyFill="1" applyBorder="1" applyAlignment="1">
      <alignment horizontal="center" vertical="center" wrapText="1"/>
      <protection/>
    </xf>
    <xf numFmtId="0" fontId="11" fillId="0" borderId="20" xfId="0" applyFont="1" applyFill="1" applyBorder="1" applyAlignment="1">
      <alignment vertical="center" wrapText="1"/>
    </xf>
    <xf numFmtId="0" fontId="11" fillId="0" borderId="20" xfId="0" applyFont="1" applyFill="1" applyBorder="1" applyAlignment="1">
      <alignment horizontal="center" vertical="center" wrapText="1"/>
    </xf>
    <xf numFmtId="4" fontId="11" fillId="0" borderId="20" xfId="0" applyNumberFormat="1" applyFont="1" applyFill="1" applyBorder="1" applyAlignment="1">
      <alignment horizontal="right" vertical="center" indent="1"/>
    </xf>
    <xf numFmtId="4" fontId="11" fillId="0" borderId="21" xfId="37" applyNumberFormat="1" applyFont="1" applyFill="1" applyBorder="1" applyAlignment="1">
      <alignment horizontal="right" vertical="center" indent="1"/>
      <protection/>
    </xf>
    <xf numFmtId="0" fontId="53" fillId="0" borderId="72" xfId="37" applyFont="1" applyFill="1" applyBorder="1" applyAlignment="1">
      <alignment horizontal="center" vertical="center" wrapText="1"/>
      <protection/>
    </xf>
    <xf numFmtId="0" fontId="27" fillId="0" borderId="20" xfId="0" applyFont="1" applyFill="1" applyBorder="1" applyAlignment="1">
      <alignment vertical="center" wrapText="1"/>
    </xf>
    <xf numFmtId="2" fontId="27" fillId="0" borderId="20" xfId="0" applyNumberFormat="1" applyFont="1" applyFill="1" applyBorder="1" applyAlignment="1">
      <alignment horizontal="center" vertical="center" wrapText="1"/>
    </xf>
    <xf numFmtId="4" fontId="27" fillId="0" borderId="20" xfId="0" applyNumberFormat="1" applyFont="1" applyFill="1" applyBorder="1" applyAlignment="1">
      <alignment horizontal="right" vertical="center" wrapText="1"/>
    </xf>
    <xf numFmtId="4" fontId="27" fillId="0" borderId="21" xfId="37" applyNumberFormat="1" applyFont="1" applyFill="1" applyBorder="1" applyAlignment="1">
      <alignment horizontal="right" vertical="center" wrapText="1"/>
      <protection/>
    </xf>
    <xf numFmtId="0" fontId="7" fillId="0" borderId="37" xfId="37" applyFont="1" applyFill="1" applyBorder="1" applyAlignment="1">
      <alignment horizontal="center" vertical="center" wrapText="1"/>
      <protection/>
    </xf>
    <xf numFmtId="4" fontId="7" fillId="0" borderId="37" xfId="0" applyNumberFormat="1" applyFont="1" applyFill="1" applyBorder="1" applyAlignment="1">
      <alignment horizontal="right" vertical="center" indent="1"/>
    </xf>
    <xf numFmtId="49" fontId="7" fillId="0" borderId="36" xfId="37" applyNumberFormat="1" applyFont="1" applyBorder="1" applyAlignment="1">
      <alignment horizontal="center" vertical="center" wrapText="1"/>
      <protection/>
    </xf>
    <xf numFmtId="0" fontId="7" fillId="0" borderId="37" xfId="37" applyFont="1" applyFill="1" applyBorder="1" applyAlignment="1">
      <alignment horizontal="center" wrapText="1"/>
      <protection/>
    </xf>
    <xf numFmtId="0" fontId="7" fillId="0" borderId="20" xfId="39" applyFont="1" applyFill="1" applyBorder="1" applyAlignment="1">
      <alignment vertical="center" wrapText="1"/>
      <protection/>
    </xf>
    <xf numFmtId="49" fontId="34" fillId="0" borderId="20" xfId="66" applyNumberFormat="1" applyFont="1" applyFill="1" applyBorder="1" applyAlignment="1">
      <alignment horizontal="center" vertical="center"/>
      <protection/>
    </xf>
    <xf numFmtId="4" fontId="7" fillId="0" borderId="37" xfId="37" applyNumberFormat="1" applyFont="1" applyBorder="1" applyAlignment="1">
      <alignment horizontal="right" vertical="center" wrapText="1" indent="1"/>
      <protection/>
    </xf>
    <xf numFmtId="4" fontId="7" fillId="0" borderId="37" xfId="37" applyNumberFormat="1" applyFont="1" applyFill="1" applyBorder="1" applyAlignment="1">
      <alignment horizontal="right" vertical="center" wrapText="1" indent="1"/>
      <protection/>
    </xf>
    <xf numFmtId="4" fontId="7" fillId="0" borderId="38" xfId="37" applyNumberFormat="1" applyFont="1" applyBorder="1" applyAlignment="1">
      <alignment horizontal="right" vertical="center" wrapText="1" indent="1"/>
      <protection/>
    </xf>
    <xf numFmtId="49" fontId="7" fillId="0" borderId="91" xfId="37" applyNumberFormat="1" applyFont="1" applyFill="1" applyBorder="1" applyAlignment="1">
      <alignment horizontal="center" vertical="center" wrapText="1"/>
      <protection/>
    </xf>
    <xf numFmtId="0" fontId="7" fillId="0" borderId="74" xfId="37" applyFont="1" applyFill="1" applyBorder="1" applyAlignment="1">
      <alignment horizontal="center" vertical="center" wrapText="1"/>
      <protection/>
    </xf>
    <xf numFmtId="49" fontId="34" fillId="0" borderId="74" xfId="66" applyNumberFormat="1" applyFont="1" applyFill="1" applyBorder="1" applyAlignment="1">
      <alignment vertical="center" wrapText="1"/>
      <protection/>
    </xf>
    <xf numFmtId="4" fontId="7" fillId="0" borderId="74" xfId="37" applyNumberFormat="1" applyFont="1" applyFill="1" applyBorder="1" applyAlignment="1">
      <alignment horizontal="right" vertical="center" wrapText="1" indent="1"/>
      <protection/>
    </xf>
    <xf numFmtId="0" fontId="53" fillId="0" borderId="74" xfId="37" applyFont="1" applyFill="1" applyBorder="1" applyAlignment="1">
      <alignment horizontal="center" vertical="center" wrapText="1"/>
      <protection/>
    </xf>
    <xf numFmtId="0" fontId="53" fillId="0" borderId="74" xfId="0" applyFont="1" applyFill="1" applyBorder="1" applyAlignment="1">
      <alignment vertical="center" wrapText="1"/>
    </xf>
    <xf numFmtId="2" fontId="53" fillId="0" borderId="74" xfId="0" applyNumberFormat="1" applyFont="1" applyFill="1" applyBorder="1" applyAlignment="1">
      <alignment horizontal="center" vertical="center" wrapText="1"/>
    </xf>
    <xf numFmtId="4" fontId="53" fillId="0" borderId="74" xfId="0" applyNumberFormat="1" applyFont="1" applyFill="1" applyBorder="1" applyAlignment="1">
      <alignment horizontal="right" vertical="center" wrapText="1" indent="1"/>
    </xf>
    <xf numFmtId="4" fontId="53" fillId="0" borderId="90" xfId="37" applyNumberFormat="1" applyFont="1" applyFill="1" applyBorder="1" applyAlignment="1">
      <alignment horizontal="right" vertical="center" wrapText="1" indent="1"/>
      <protection/>
    </xf>
    <xf numFmtId="49" fontId="7" fillId="0" borderId="36" xfId="37" applyNumberFormat="1" applyFont="1" applyFill="1" applyBorder="1" applyAlignment="1">
      <alignment horizontal="center" vertical="center" wrapText="1"/>
      <protection/>
    </xf>
    <xf numFmtId="4" fontId="7" fillId="0" borderId="38" xfId="37" applyNumberFormat="1" applyFont="1" applyFill="1" applyBorder="1" applyAlignment="1">
      <alignment horizontal="right" vertical="center" wrapText="1" indent="1"/>
      <protection/>
    </xf>
    <xf numFmtId="4" fontId="7" fillId="0" borderId="20" xfId="39" applyNumberFormat="1" applyFont="1" applyBorder="1" applyAlignment="1">
      <alignment horizontal="right" vertical="center" wrapText="1" indent="1"/>
      <protection/>
    </xf>
    <xf numFmtId="4" fontId="7" fillId="0" borderId="20" xfId="39" applyNumberFormat="1" applyFont="1" applyFill="1" applyBorder="1" applyAlignment="1">
      <alignment horizontal="right" vertical="center" wrapText="1" indent="1"/>
      <protection/>
    </xf>
    <xf numFmtId="4" fontId="7" fillId="0" borderId="21" xfId="39" applyNumberFormat="1" applyFont="1" applyBorder="1" applyAlignment="1">
      <alignment horizontal="right" vertical="center" wrapText="1" indent="1"/>
      <protection/>
    </xf>
    <xf numFmtId="49" fontId="7" fillId="0" borderId="19" xfId="37" applyNumberFormat="1" applyFont="1" applyBorder="1" applyAlignment="1">
      <alignment horizontal="center" vertical="center" wrapText="1"/>
      <protection/>
    </xf>
    <xf numFmtId="0" fontId="7" fillId="0" borderId="20" xfId="37" applyFont="1" applyBorder="1" applyAlignment="1">
      <alignment horizontal="center" vertical="center" wrapText="1"/>
      <protection/>
    </xf>
    <xf numFmtId="0" fontId="7" fillId="0" borderId="20" xfId="37" applyFont="1" applyBorder="1" applyAlignment="1">
      <alignment vertical="center" wrapText="1"/>
      <protection/>
    </xf>
    <xf numFmtId="4" fontId="7" fillId="0" borderId="23" xfId="37" applyNumberFormat="1" applyFont="1" applyBorder="1" applyAlignment="1">
      <alignment horizontal="right" vertical="center" wrapText="1" indent="1"/>
      <protection/>
    </xf>
    <xf numFmtId="4" fontId="7" fillId="0" borderId="23" xfId="37" applyNumberFormat="1" applyFont="1" applyFill="1" applyBorder="1" applyAlignment="1">
      <alignment horizontal="right" vertical="center" wrapText="1" indent="1"/>
      <protection/>
    </xf>
    <xf numFmtId="4" fontId="7" fillId="0" borderId="24" xfId="37" applyNumberFormat="1" applyFont="1" applyBorder="1" applyAlignment="1">
      <alignment horizontal="right" vertical="center" wrapText="1" indent="1"/>
      <protection/>
    </xf>
    <xf numFmtId="165" fontId="24" fillId="0" borderId="0" xfId="78" applyNumberFormat="1" applyFont="1" applyAlignment="1">
      <alignment vertical="center"/>
      <protection/>
    </xf>
    <xf numFmtId="0" fontId="7" fillId="0" borderId="0" xfId="78" applyFont="1" applyAlignment="1">
      <alignment vertical="center"/>
      <protection/>
    </xf>
    <xf numFmtId="0" fontId="0" fillId="0" borderId="48" xfId="0" applyBorder="1"/>
    <xf numFmtId="0" fontId="0" fillId="0" borderId="66" xfId="0" applyBorder="1"/>
    <xf numFmtId="49" fontId="7" fillId="0" borderId="48" xfId="71" applyNumberFormat="1" applyFont="1" applyBorder="1" applyAlignment="1">
      <alignment vertical="center"/>
      <protection/>
    </xf>
    <xf numFmtId="0" fontId="7" fillId="0" borderId="0" xfId="71" applyFont="1" applyBorder="1" applyAlignment="1">
      <alignment vertical="center"/>
      <protection/>
    </xf>
    <xf numFmtId="0" fontId="7" fillId="0" borderId="0" xfId="64" applyFont="1" applyBorder="1" applyAlignment="1">
      <alignment horizontal="center"/>
      <protection/>
    </xf>
    <xf numFmtId="0" fontId="7" fillId="0" borderId="66" xfId="64" applyFont="1" applyBorder="1">
      <alignment/>
      <protection/>
    </xf>
    <xf numFmtId="0" fontId="7" fillId="0" borderId="0" xfId="64" applyFont="1" applyBorder="1">
      <alignment/>
      <protection/>
    </xf>
    <xf numFmtId="0" fontId="7" fillId="0" borderId="0" xfId="78" applyFont="1" applyBorder="1" applyAlignment="1">
      <alignment vertical="center"/>
      <protection/>
    </xf>
    <xf numFmtId="165" fontId="24" fillId="0" borderId="0" xfId="78" applyNumberFormat="1" applyFont="1" applyBorder="1" applyAlignment="1">
      <alignment vertical="center"/>
      <protection/>
    </xf>
    <xf numFmtId="0" fontId="34" fillId="14" borderId="20" xfId="32" applyFont="1" applyFill="1" applyBorder="1">
      <alignment/>
      <protection/>
    </xf>
    <xf numFmtId="4" fontId="7" fillId="14" borderId="20" xfId="64" applyNumberFormat="1" applyFont="1" applyFill="1" applyBorder="1" applyAlignment="1" applyProtection="1">
      <alignment horizontal="center" vertical="center" wrapText="1"/>
      <protection/>
    </xf>
    <xf numFmtId="4" fontId="7" fillId="14" borderId="20" xfId="58" applyNumberFormat="1" applyFont="1" applyFill="1" applyBorder="1" applyAlignment="1">
      <alignment horizontal="right" vertical="center" indent="1"/>
      <protection/>
    </xf>
    <xf numFmtId="0" fontId="7" fillId="14" borderId="20" xfId="39" applyFont="1" applyFill="1" applyBorder="1" applyAlignment="1" applyProtection="1">
      <alignment vertical="center" wrapText="1"/>
      <protection hidden="1"/>
    </xf>
    <xf numFmtId="0" fontId="7" fillId="14" borderId="20" xfId="39" applyFont="1" applyFill="1" applyBorder="1" applyAlignment="1" applyProtection="1">
      <alignment horizontal="center" vertical="center" wrapText="1"/>
      <protection hidden="1"/>
    </xf>
    <xf numFmtId="4" fontId="7" fillId="14" borderId="20" xfId="39" applyNumberFormat="1" applyFont="1" applyFill="1" applyBorder="1" applyAlignment="1" applyProtection="1">
      <alignment horizontal="right" vertical="center" indent="1"/>
      <protection hidden="1"/>
    </xf>
    <xf numFmtId="0" fontId="7" fillId="15" borderId="20" xfId="39" applyFont="1" applyFill="1" applyBorder="1" applyAlignment="1" applyProtection="1">
      <alignment vertical="center" wrapText="1"/>
      <protection hidden="1"/>
    </xf>
    <xf numFmtId="0" fontId="7" fillId="15" borderId="20" xfId="39" applyFont="1" applyFill="1" applyBorder="1" applyAlignment="1" applyProtection="1">
      <alignment horizontal="center" vertical="center" wrapText="1"/>
      <protection hidden="1"/>
    </xf>
    <xf numFmtId="4" fontId="7" fillId="15" borderId="20" xfId="39" applyNumberFormat="1" applyFont="1" applyFill="1" applyBorder="1" applyAlignment="1" applyProtection="1">
      <alignment horizontal="right" vertical="center" indent="1"/>
      <protection hidden="1"/>
    </xf>
    <xf numFmtId="49" fontId="7" fillId="16" borderId="61" xfId="39" applyNumberFormat="1" applyFont="1" applyFill="1" applyBorder="1" applyAlignment="1">
      <alignment horizontal="center" vertical="center" wrapText="1"/>
      <protection/>
    </xf>
    <xf numFmtId="0" fontId="7" fillId="16" borderId="37" xfId="39" applyFont="1" applyFill="1" applyBorder="1" applyAlignment="1">
      <alignment wrapText="1"/>
      <protection/>
    </xf>
    <xf numFmtId="0" fontId="7" fillId="16" borderId="20" xfId="39" applyFont="1" applyFill="1" applyBorder="1" applyAlignment="1" applyProtection="1">
      <alignment vertical="center" wrapText="1"/>
      <protection hidden="1"/>
    </xf>
    <xf numFmtId="0" fontId="7" fillId="16" borderId="20" xfId="39" applyFont="1" applyFill="1" applyBorder="1" applyAlignment="1" applyProtection="1">
      <alignment horizontal="center" vertical="center" wrapText="1"/>
      <protection hidden="1"/>
    </xf>
    <xf numFmtId="4" fontId="7" fillId="16" borderId="37" xfId="39" applyNumberFormat="1" applyFont="1" applyFill="1" applyBorder="1" applyAlignment="1" applyProtection="1">
      <alignment horizontal="right" vertical="center" indent="1"/>
      <protection hidden="1"/>
    </xf>
    <xf numFmtId="4" fontId="7" fillId="16" borderId="62" xfId="39" applyNumberFormat="1" applyFont="1" applyFill="1" applyBorder="1" applyAlignment="1">
      <alignment horizontal="right" vertical="center" wrapText="1" indent="1"/>
      <protection/>
    </xf>
    <xf numFmtId="49" fontId="7" fillId="15" borderId="58" xfId="39" applyNumberFormat="1" applyFont="1" applyFill="1" applyBorder="1" applyAlignment="1">
      <alignment horizontal="center" vertical="center" wrapText="1"/>
      <protection/>
    </xf>
    <xf numFmtId="0" fontId="7" fillId="15" borderId="20" xfId="39" applyFont="1" applyFill="1" applyBorder="1" applyAlignment="1">
      <alignment wrapText="1"/>
      <protection/>
    </xf>
    <xf numFmtId="4" fontId="7" fillId="15" borderId="60" xfId="39" applyNumberFormat="1" applyFont="1" applyFill="1" applyBorder="1" applyAlignment="1">
      <alignment horizontal="right" vertical="center" wrapText="1" indent="1"/>
      <protection/>
    </xf>
    <xf numFmtId="0" fontId="7" fillId="14" borderId="20" xfId="39" applyFont="1" applyFill="1" applyBorder="1" applyAlignment="1" applyProtection="1">
      <alignment vertical="center" wrapText="1"/>
      <protection hidden="1"/>
    </xf>
    <xf numFmtId="0" fontId="7" fillId="14" borderId="20" xfId="39" applyFont="1" applyFill="1" applyBorder="1" applyAlignment="1" applyProtection="1">
      <alignment horizontal="center" vertical="center" wrapText="1"/>
      <protection hidden="1"/>
    </xf>
    <xf numFmtId="4" fontId="7" fillId="14" borderId="20" xfId="39" applyNumberFormat="1" applyFont="1" applyFill="1" applyBorder="1" applyAlignment="1" applyProtection="1">
      <alignment horizontal="right" vertical="center" indent="1"/>
      <protection hidden="1"/>
    </xf>
    <xf numFmtId="4" fontId="7" fillId="0" borderId="20" xfId="39" applyNumberFormat="1" applyFont="1" applyFill="1" applyBorder="1" applyAlignment="1" applyProtection="1">
      <alignment horizontal="right" vertical="center" indent="1"/>
      <protection hidden="1"/>
    </xf>
    <xf numFmtId="49" fontId="7" fillId="14" borderId="58" xfId="39" applyNumberFormat="1" applyFont="1" applyFill="1" applyBorder="1" applyAlignment="1">
      <alignment horizontal="center" vertical="center" wrapText="1"/>
      <protection/>
    </xf>
    <xf numFmtId="0" fontId="6" fillId="2" borderId="3" xfId="39" applyFont="1" applyFill="1" applyBorder="1" applyAlignment="1">
      <alignment horizontal="left" vertical="center" wrapText="1"/>
      <protection/>
    </xf>
    <xf numFmtId="0" fontId="16" fillId="0" borderId="48" xfId="47" applyNumberFormat="1" applyFont="1" applyBorder="1" applyAlignment="1">
      <alignment horizontal="justify" wrapText="1"/>
      <protection/>
    </xf>
    <xf numFmtId="0" fontId="16" fillId="0" borderId="0" xfId="47" applyNumberFormat="1" applyFont="1" applyBorder="1" applyAlignment="1">
      <alignment horizontal="justify" wrapText="1"/>
      <protection/>
    </xf>
    <xf numFmtId="0" fontId="0" fillId="0" borderId="66" xfId="0" applyNumberFormat="1" applyBorder="1" applyAlignment="1">
      <alignment wrapText="1"/>
    </xf>
    <xf numFmtId="49" fontId="16" fillId="0" borderId="48" xfId="47" applyNumberFormat="1" applyFont="1" applyBorder="1" applyAlignment="1">
      <alignment horizontal="justify" vertical="center" wrapText="1"/>
      <protection/>
    </xf>
    <xf numFmtId="49" fontId="16" fillId="0" borderId="0" xfId="47" applyNumberFormat="1" applyFont="1" applyBorder="1" applyAlignment="1">
      <alignment horizontal="justify" vertical="center" wrapText="1"/>
      <protection/>
    </xf>
    <xf numFmtId="49" fontId="0" fillId="0" borderId="66" xfId="0" applyNumberFormat="1" applyBorder="1" applyAlignment="1">
      <alignment vertical="center" wrapText="1"/>
    </xf>
    <xf numFmtId="0" fontId="6" fillId="2" borderId="13" xfId="39" applyFont="1" applyFill="1" applyBorder="1" applyAlignment="1">
      <alignment horizontal="left" vertical="center" wrapText="1"/>
      <protection/>
    </xf>
    <xf numFmtId="0" fontId="6" fillId="2" borderId="4" xfId="39" applyFont="1" applyFill="1" applyBorder="1" applyAlignment="1">
      <alignment horizontal="left" vertical="center" wrapText="1"/>
      <protection/>
    </xf>
    <xf numFmtId="0" fontId="7" fillId="2" borderId="4" xfId="39" applyFont="1" applyFill="1" applyBorder="1" applyAlignment="1">
      <alignment horizontal="left" vertical="center" wrapText="1"/>
      <protection/>
    </xf>
    <xf numFmtId="0" fontId="11" fillId="2" borderId="4" xfId="39" applyFont="1" applyFill="1" applyBorder="1" applyAlignment="1">
      <alignment horizontal="left" wrapText="1"/>
      <protection/>
    </xf>
    <xf numFmtId="0" fontId="6" fillId="2" borderId="93" xfId="39" applyFont="1" applyFill="1" applyBorder="1" applyAlignment="1">
      <alignment horizontal="left" vertical="center" wrapText="1"/>
      <protection/>
    </xf>
    <xf numFmtId="0" fontId="6" fillId="2" borderId="94" xfId="39" applyFont="1" applyFill="1" applyBorder="1" applyAlignment="1">
      <alignment horizontal="left" vertical="center" wrapText="1"/>
      <protection/>
    </xf>
    <xf numFmtId="0" fontId="6" fillId="2" borderId="66" xfId="39" applyFont="1" applyFill="1" applyBorder="1" applyAlignment="1">
      <alignment horizontal="left" vertical="center" wrapText="1"/>
      <protection/>
    </xf>
    <xf numFmtId="0" fontId="7" fillId="2" borderId="4" xfId="39" applyFont="1" applyFill="1" applyBorder="1" applyAlignment="1">
      <alignment horizontal="left" wrapText="1"/>
      <protection/>
    </xf>
    <xf numFmtId="0" fontId="7" fillId="2" borderId="66" xfId="39" applyFont="1" applyFill="1" applyBorder="1" applyAlignment="1">
      <alignment horizontal="left" wrapText="1"/>
      <protection/>
    </xf>
    <xf numFmtId="0" fontId="11" fillId="2" borderId="66" xfId="39" applyFont="1" applyFill="1" applyBorder="1" applyAlignment="1">
      <alignment horizontal="left" wrapText="1"/>
      <protection/>
    </xf>
    <xf numFmtId="0" fontId="7" fillId="0" borderId="4" xfId="39" applyFont="1" applyFill="1" applyBorder="1" applyAlignment="1">
      <alignment horizontal="left" wrapText="1"/>
      <protection/>
    </xf>
    <xf numFmtId="0" fontId="7" fillId="0" borderId="66" xfId="39" applyFont="1" applyFill="1" applyBorder="1" applyAlignment="1">
      <alignment horizontal="left" wrapText="1"/>
      <protection/>
    </xf>
    <xf numFmtId="0" fontId="7" fillId="0" borderId="20" xfId="37" applyFont="1" applyFill="1" applyBorder="1" applyAlignment="1">
      <alignment horizontal="center" vertical="center"/>
      <protection/>
    </xf>
    <xf numFmtId="4" fontId="7" fillId="0" borderId="20" xfId="37" applyNumberFormat="1" applyFont="1" applyFill="1" applyBorder="1" applyAlignment="1">
      <alignment horizontal="right" vertical="center" indent="1"/>
      <protection/>
    </xf>
    <xf numFmtId="4" fontId="7" fillId="0" borderId="60" xfId="37" applyNumberFormat="1" applyFont="1" applyFill="1" applyBorder="1" applyAlignment="1">
      <alignment horizontal="right" vertical="center" indent="1"/>
      <protection/>
    </xf>
    <xf numFmtId="0" fontId="7" fillId="0" borderId="37" xfId="39" applyFont="1" applyFill="1" applyBorder="1" applyAlignment="1" applyProtection="1">
      <alignment horizontal="center" vertical="center"/>
      <protection hidden="1"/>
    </xf>
    <xf numFmtId="0" fontId="0" fillId="0" borderId="41" xfId="0" applyFill="1" applyBorder="1" applyAlignment="1">
      <alignment horizontal="center" vertical="center"/>
    </xf>
    <xf numFmtId="0" fontId="0" fillId="0" borderId="17" xfId="0" applyFill="1" applyBorder="1" applyAlignment="1">
      <alignment horizontal="center" vertical="center"/>
    </xf>
    <xf numFmtId="4" fontId="7" fillId="0" borderId="37" xfId="39" applyNumberFormat="1" applyFont="1" applyFill="1" applyBorder="1" applyAlignment="1" applyProtection="1">
      <alignment horizontal="right" vertical="center" indent="1"/>
      <protection hidden="1"/>
    </xf>
    <xf numFmtId="0" fontId="0" fillId="0" borderId="41" xfId="0" applyFill="1" applyBorder="1" applyAlignment="1">
      <alignment horizontal="right" vertical="center" indent="1"/>
    </xf>
    <xf numFmtId="0" fontId="0" fillId="0" borderId="17" xfId="0" applyFill="1" applyBorder="1" applyAlignment="1">
      <alignment horizontal="right" vertical="center" indent="1"/>
    </xf>
    <xf numFmtId="4" fontId="7" fillId="0" borderId="62" xfId="39" applyNumberFormat="1" applyFont="1" applyFill="1" applyBorder="1" applyAlignment="1">
      <alignment horizontal="right" vertical="center" indent="1"/>
      <protection/>
    </xf>
    <xf numFmtId="0" fontId="0" fillId="0" borderId="95" xfId="0" applyFill="1" applyBorder="1" applyAlignment="1">
      <alignment horizontal="right" vertical="center" indent="1"/>
    </xf>
    <xf numFmtId="0" fontId="0" fillId="0" borderId="64" xfId="0" applyFill="1" applyBorder="1" applyAlignment="1">
      <alignment horizontal="right" vertical="center" indent="1"/>
    </xf>
    <xf numFmtId="0" fontId="34" fillId="14" borderId="20" xfId="32" applyFont="1" applyFill="1" applyBorder="1" applyAlignment="1">
      <alignment horizontal="center"/>
      <protection/>
    </xf>
    <xf numFmtId="49" fontId="7" fillId="17" borderId="58" xfId="39" applyNumberFormat="1" applyFont="1" applyFill="1" applyBorder="1" applyAlignment="1">
      <alignment horizontal="center" vertical="center" wrapText="1"/>
      <protection/>
    </xf>
    <xf numFmtId="0" fontId="34" fillId="17" borderId="20" xfId="32" applyFont="1" applyFill="1" applyBorder="1">
      <alignment/>
      <protection/>
    </xf>
    <xf numFmtId="0" fontId="7" fillId="17" borderId="20" xfId="32" applyFont="1" applyFill="1" applyBorder="1">
      <alignment/>
      <protection/>
    </xf>
    <xf numFmtId="4" fontId="7" fillId="17" borderId="20" xfId="64" applyNumberFormat="1" applyFont="1" applyFill="1" applyBorder="1" applyAlignment="1" applyProtection="1">
      <alignment horizontal="center" vertical="center" wrapText="1"/>
      <protection/>
    </xf>
    <xf numFmtId="4" fontId="7" fillId="17" borderId="20" xfId="58" applyNumberFormat="1" applyFont="1" applyFill="1" applyBorder="1" applyAlignment="1">
      <alignment horizontal="right" vertical="center" indent="1"/>
      <protection/>
    </xf>
    <xf numFmtId="4" fontId="34" fillId="17" borderId="20" xfId="69" applyNumberFormat="1" applyFont="1" applyFill="1" applyBorder="1" applyAlignment="1" applyProtection="1">
      <alignment horizontal="right" vertical="center" indent="1"/>
      <protection locked="0"/>
    </xf>
    <xf numFmtId="4" fontId="7" fillId="17" borderId="60" xfId="39" applyNumberFormat="1" applyFont="1" applyFill="1" applyBorder="1" applyAlignment="1">
      <alignment horizontal="right" vertical="center" wrapText="1" indent="1"/>
      <protection/>
    </xf>
    <xf numFmtId="49" fontId="36" fillId="17" borderId="20" xfId="69" applyNumberFormat="1" applyFont="1" applyFill="1" applyBorder="1" applyAlignment="1">
      <alignment horizontal="center" vertical="center"/>
      <protection/>
    </xf>
  </cellXfs>
  <cellStyles count="69">
    <cellStyle name="Normal" xfId="0"/>
    <cellStyle name="Percent" xfId="15"/>
    <cellStyle name="Currency" xfId="16"/>
    <cellStyle name="Currency [0]" xfId="17"/>
    <cellStyle name="Comma" xfId="18"/>
    <cellStyle name="Comma [0]" xfId="19"/>
    <cellStyle name=" 1" xfId="20"/>
    <cellStyle name="_06_GCZ_BQ_SO_1241_Hruba" xfId="21"/>
    <cellStyle name="_06_GCZ_BQ_SO_1242+1710_Hruba" xfId="22"/>
    <cellStyle name="_06_GCZ_BQ_SO_1510_Hruba" xfId="23"/>
    <cellStyle name="_06_GCZ_BQ_SO_1810_Hruba" xfId="24"/>
    <cellStyle name="_6VX01" xfId="25"/>
    <cellStyle name="_F6_BS_SO 01+04_6SX01" xfId="26"/>
    <cellStyle name="_SO 05_F6_rain wat drain.060531" xfId="27"/>
    <cellStyle name="_SO 16_6VX01_vzduchotechnika" xfId="28"/>
    <cellStyle name="_TI_SO 01_060301_cz_en" xfId="29"/>
    <cellStyle name="fnRegressQ" xfId="30"/>
    <cellStyle name="Normal 2" xfId="31"/>
    <cellStyle name="Normal 2 2" xfId="32"/>
    <cellStyle name="Normal 2 2 2" xfId="33"/>
    <cellStyle name="Normal 2 3" xfId="34"/>
    <cellStyle name="normálne 2" xfId="35"/>
    <cellStyle name="normálne__výkaz výmer old" xfId="36"/>
    <cellStyle name="Normální 10" xfId="37"/>
    <cellStyle name="normální 10 2" xfId="38"/>
    <cellStyle name="Normální 10 3" xfId="39"/>
    <cellStyle name="Normální 10 3 2" xfId="40"/>
    <cellStyle name="Normální 10 4" xfId="41"/>
    <cellStyle name="Normální 11" xfId="42"/>
    <cellStyle name="Normální 15 2" xfId="43"/>
    <cellStyle name="normální 16" xfId="44"/>
    <cellStyle name="normální 2" xfId="45"/>
    <cellStyle name="normální 2 2" xfId="46"/>
    <cellStyle name="normální 2 2 2" xfId="47"/>
    <cellStyle name="Normální 2 3" xfId="48"/>
    <cellStyle name="Normální 3" xfId="49"/>
    <cellStyle name="Normální 3 2" xfId="50"/>
    <cellStyle name="Normální 3 2 2" xfId="51"/>
    <cellStyle name="normální 3 2 2 2" xfId="52"/>
    <cellStyle name="Normální 3 3" xfId="53"/>
    <cellStyle name="normální 4" xfId="54"/>
    <cellStyle name="normální 4 2" xfId="55"/>
    <cellStyle name="normální 4 3" xfId="56"/>
    <cellStyle name="Normální 5" xfId="57"/>
    <cellStyle name="Normální 5 2" xfId="58"/>
    <cellStyle name="Normální 6 2" xfId="59"/>
    <cellStyle name="Normální 6 2 3" xfId="60"/>
    <cellStyle name="Normální 7" xfId="61"/>
    <cellStyle name="Normální 7 4" xfId="62"/>
    <cellStyle name="Normální 9 3" xfId="63"/>
    <cellStyle name="normální_6185_SA_SPINE_BQ_120504" xfId="64"/>
    <cellStyle name="normální_6278_AGC_TB4_SV_120606_doplnek_TB3" xfId="65"/>
    <cellStyle name="normální_6WX01" xfId="66"/>
    <cellStyle name="normální_GB_DD2_SANITARY_BQ_070105" xfId="67"/>
    <cellStyle name="normální_GB_TB6A_SANITARY_BQ_071601_Vorac" xfId="68"/>
    <cellStyle name="normální_POL.XLS 2" xfId="69"/>
    <cellStyle name="Standard 2" xfId="70"/>
    <cellStyle name="Styl 1" xfId="71"/>
    <cellStyle name="Style 1" xfId="72"/>
    <cellStyle name="Štýl 1" xfId="73"/>
    <cellStyle name="標準 12 2" xfId="74"/>
    <cellStyle name="標準_20070117 Mechanical BOQ CLIENT CONTRACT last version" xfId="75"/>
    <cellStyle name="normální 8" xfId="76"/>
    <cellStyle name="normální 6" xfId="77"/>
    <cellStyle name="normální_05_SA_6NS01B_V21_Mycí box Still_080325" xfId="78"/>
    <cellStyle name="Hyperlink" xfId="79"/>
    <cellStyle name="Followed Hyperlink" xfId="80"/>
    <cellStyle name="Hyperlink" xfId="81"/>
    <cellStyle name="Followed Hyperlink"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25E2"/>
      <rgbColor rgb="0000FFFF"/>
      <rgbColor rgb="00800000"/>
      <rgbColor rgb="00008000"/>
      <rgbColor rgb="00000080"/>
      <rgbColor rgb="00808000"/>
      <rgbColor rgb="00800080"/>
      <rgbColor rgb="00008080"/>
      <rgbColor rgb="00FFCCFF"/>
      <rgbColor rgb="00808080"/>
      <rgbColor rgb="009999FF"/>
      <rgbColor rgb="00993366"/>
      <rgbColor rgb="00FFFFCC"/>
      <rgbColor rgb="00CCFFFF"/>
      <rgbColor rgb="00660066"/>
      <rgbColor rgb="00FF8080"/>
      <rgbColor rgb="000066CC"/>
      <rgbColor rgb="00D3D3D3"/>
      <rgbColor rgb="00000080"/>
      <rgbColor rgb="00FF00FF"/>
      <rgbColor rgb="00FFFF00"/>
      <rgbColor rgb="0000FFFF"/>
      <rgbColor rgb="00800080"/>
      <rgbColor rgb="00800000"/>
      <rgbColor rgb="00008080"/>
      <rgbColor rgb="000000FF"/>
      <rgbColor rgb="0000CCFF"/>
      <rgbColor rgb="00CCECFF"/>
      <rgbColor rgb="00CCFFCC"/>
      <rgbColor rgb="00FFFF99"/>
      <rgbColor rgb="0066FFFF"/>
      <rgbColor rgb="00FF99FF"/>
      <rgbColor rgb="00EAEAEA"/>
      <rgbColor rgb="00FFCC99"/>
      <rgbColor rgb="003366FF"/>
      <rgbColor rgb="0033CCCC"/>
      <rgbColor rgb="0099CC00"/>
      <rgbColor rgb="00FFC000"/>
      <rgbColor rgb="00FF9900"/>
      <rgbColor rgb="00FF6600"/>
      <rgbColor rgb="00666699"/>
      <rgbColor rgb="00A9A9A9"/>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Motiv sady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V65"/>
  <sheetViews>
    <sheetView showGridLines="0" view="pageBreakPreview" zoomScaleSheetLayoutView="100" workbookViewId="0" topLeftCell="A1">
      <selection activeCell="D6" sqref="D6"/>
    </sheetView>
  </sheetViews>
  <sheetFormatPr defaultColWidth="8.7109375" defaultRowHeight="12.75"/>
  <cols>
    <col min="1" max="1" width="11.421875" style="0" customWidth="1"/>
    <col min="2" max="2" width="61.00390625" style="0" customWidth="1"/>
    <col min="3" max="3" width="15.7109375" style="0" customWidth="1"/>
    <col min="4" max="4" width="30.421875" style="0" customWidth="1"/>
    <col min="8" max="8" width="62.8515625" style="0" customWidth="1"/>
  </cols>
  <sheetData>
    <row r="1" spans="1:7" ht="63.75" customHeight="1">
      <c r="A1" s="1" t="s">
        <v>0</v>
      </c>
      <c r="B1" s="2" t="s">
        <v>1</v>
      </c>
      <c r="C1" s="3"/>
      <c r="D1" s="952" t="s">
        <v>2</v>
      </c>
      <c r="E1" s="1408"/>
      <c r="F1" s="1408"/>
      <c r="G1" s="4"/>
    </row>
    <row r="2" spans="1:4" ht="80.25" customHeight="1">
      <c r="A2" s="5" t="s">
        <v>3</v>
      </c>
      <c r="B2" s="6" t="s">
        <v>2172</v>
      </c>
      <c r="C2" s="7"/>
      <c r="D2" s="953"/>
    </row>
    <row r="3" spans="1:4" ht="63" customHeight="1">
      <c r="A3" s="5" t="s">
        <v>4</v>
      </c>
      <c r="B3" s="8" t="s">
        <v>5</v>
      </c>
      <c r="C3" s="7"/>
      <c r="D3" s="9" t="s">
        <v>2055</v>
      </c>
    </row>
    <row r="4" spans="1:4" ht="18">
      <c r="A4" s="10"/>
      <c r="B4" s="11"/>
      <c r="C4" s="12"/>
      <c r="D4" s="13"/>
    </row>
    <row r="5" spans="1:4" ht="12.75">
      <c r="A5" s="14"/>
      <c r="B5" s="15"/>
      <c r="C5" s="16"/>
      <c r="D5" s="17"/>
    </row>
    <row r="6" spans="1:4" ht="12.75">
      <c r="A6" s="18"/>
      <c r="B6" s="19"/>
      <c r="C6" s="20"/>
      <c r="D6" s="21"/>
    </row>
    <row r="7" spans="1:4" ht="33.75" customHeight="1">
      <c r="A7" s="22" t="s">
        <v>6</v>
      </c>
      <c r="B7" s="23" t="s">
        <v>7</v>
      </c>
      <c r="C7" s="24" t="s">
        <v>8</v>
      </c>
      <c r="D7" s="25" t="s">
        <v>9</v>
      </c>
    </row>
    <row r="8" spans="1:4" ht="12.75">
      <c r="A8" s="26"/>
      <c r="B8" s="27"/>
      <c r="C8" s="28"/>
      <c r="D8" s="29"/>
    </row>
    <row r="9" spans="1:8" s="37" customFormat="1" ht="19.5" customHeight="1">
      <c r="A9" s="30" t="s">
        <v>2459</v>
      </c>
      <c r="B9" s="31" t="str">
        <f>SA_SO1_Toalety!C3</f>
        <v>SO1 - Společné toalety 1.NP</v>
      </c>
      <c r="C9" s="28" t="s">
        <v>1347</v>
      </c>
      <c r="D9" s="34">
        <f>SA_SO1_Toalety!$G$23</f>
        <v>0</v>
      </c>
      <c r="H9" s="630"/>
    </row>
    <row r="10" spans="1:8" s="37" customFormat="1" ht="12.75">
      <c r="A10" s="30"/>
      <c r="B10" s="31"/>
      <c r="C10" s="35"/>
      <c r="D10" s="33"/>
      <c r="H10" s="204"/>
    </row>
    <row r="11" spans="1:8" s="37" customFormat="1" ht="24.75" customHeight="1">
      <c r="A11" s="30" t="s">
        <v>2460</v>
      </c>
      <c r="B11" s="626" t="str">
        <f>SA_S02_Restaurace_zázemí!C3</f>
        <v>SO2 - Restaurace a zázemí  1.NP</v>
      </c>
      <c r="C11" s="28" t="s">
        <v>1346</v>
      </c>
      <c r="D11" s="628">
        <f>SA_S02_Restaurace_zázemí!G35</f>
        <v>0</v>
      </c>
      <c r="H11" s="204"/>
    </row>
    <row r="12" spans="1:8" s="37" customFormat="1" ht="12.75">
      <c r="A12" s="30"/>
      <c r="B12" s="626"/>
      <c r="C12" s="629"/>
      <c r="D12" s="628"/>
      <c r="H12" s="204"/>
    </row>
    <row r="13" spans="1:8" s="37" customFormat="1" ht="25.5" customHeight="1">
      <c r="A13" s="30" t="s">
        <v>2461</v>
      </c>
      <c r="B13" s="31" t="str">
        <f>'SA_S03_Zasedací místnost'!C3</f>
        <v>SO3 - Zasedací místnost zastupitelstva  1.NP</v>
      </c>
      <c r="C13" s="35" t="s">
        <v>1345</v>
      </c>
      <c r="D13" s="33">
        <f>'SA_S03_Zasedací místnost'!G31</f>
        <v>0</v>
      </c>
      <c r="H13" s="630"/>
    </row>
    <row r="14" spans="1:4" s="37" customFormat="1" ht="12.75">
      <c r="A14" s="30"/>
      <c r="B14" s="31"/>
      <c r="C14" s="35"/>
      <c r="D14" s="33"/>
    </row>
    <row r="15" spans="1:4" s="37" customFormat="1" ht="27" customHeight="1">
      <c r="A15" s="30" t="s">
        <v>2462</v>
      </c>
      <c r="B15" s="626" t="str">
        <f>'SA_SO4_Šatny a chodba'!C3</f>
        <v>SO4 - Šatny a chodba (1.NP a 2.NP)</v>
      </c>
      <c r="C15" s="629" t="s">
        <v>1343</v>
      </c>
      <c r="D15" s="628">
        <f>'SA_SO4_Šatny a chodba'!G34</f>
        <v>0</v>
      </c>
    </row>
    <row r="16" spans="1:4" s="37" customFormat="1" ht="12" customHeight="1">
      <c r="A16" s="30"/>
      <c r="B16" s="626"/>
      <c r="C16" s="629"/>
      <c r="D16" s="628"/>
    </row>
    <row r="17" spans="1:8" s="37" customFormat="1" ht="28.5" customHeight="1">
      <c r="A17" s="30" t="s">
        <v>2463</v>
      </c>
      <c r="B17" s="31" t="str">
        <f>SA_S05_Spol_sál!C3</f>
        <v>SO5 - Společnský sál s podiem1.NP</v>
      </c>
      <c r="C17" s="35" t="s">
        <v>1342</v>
      </c>
      <c r="D17" s="33">
        <f>SA_S05_Spol_sál!G33</f>
        <v>0</v>
      </c>
      <c r="H17" s="630"/>
    </row>
    <row r="18" spans="1:8" s="37" customFormat="1" ht="12.75">
      <c r="A18" s="30"/>
      <c r="B18" s="31"/>
      <c r="C18" s="32"/>
      <c r="D18" s="36"/>
      <c r="H18" s="204"/>
    </row>
    <row r="19" spans="1:8" s="37" customFormat="1" ht="22.5" customHeight="1">
      <c r="A19" s="30" t="s">
        <v>2464</v>
      </c>
      <c r="B19" s="31" t="str">
        <f>SA_SO6_Technické_zázemí!C3</f>
        <v>SO6 - Přístavba technického zázemí 1.NP</v>
      </c>
      <c r="C19" s="28" t="s">
        <v>1341</v>
      </c>
      <c r="D19" s="33">
        <f>SA_SO6_Technické_zázemí!G34</f>
        <v>0</v>
      </c>
      <c r="H19" s="630"/>
    </row>
    <row r="20" spans="1:8" s="37" customFormat="1" ht="12.75">
      <c r="A20" s="30"/>
      <c r="B20" s="31"/>
      <c r="C20" s="32"/>
      <c r="D20" s="33"/>
      <c r="H20" s="204"/>
    </row>
    <row r="21" spans="1:8" s="37" customFormat="1" ht="23.25" customHeight="1">
      <c r="A21" s="30" t="s">
        <v>2465</v>
      </c>
      <c r="B21" s="31" t="str">
        <f>SA_SO7_Suterén!C3</f>
        <v>SO7 - Suterén 1.PP</v>
      </c>
      <c r="C21" s="28" t="s">
        <v>1340</v>
      </c>
      <c r="D21" s="33">
        <f>SA_SO7_Suterén!G31</f>
        <v>0</v>
      </c>
      <c r="H21" s="630"/>
    </row>
    <row r="22" spans="1:8" s="37" customFormat="1" ht="12.75">
      <c r="A22" s="30"/>
      <c r="B22" s="31"/>
      <c r="C22" s="32"/>
      <c r="D22" s="33"/>
      <c r="H22" s="204"/>
    </row>
    <row r="23" spans="1:8" s="37" customFormat="1" ht="24" customHeight="1">
      <c r="A23" s="30" t="s">
        <v>2466</v>
      </c>
      <c r="B23" s="626" t="str">
        <f>SA_S08_Vnější_úpravy!C3</f>
        <v>SO8 - Vnější obálka objektu, tepelně technická opatření</v>
      </c>
      <c r="C23" s="627" t="s">
        <v>1339</v>
      </c>
      <c r="D23" s="628">
        <f>SA_S08_Vnější_úpravy!G35</f>
        <v>0</v>
      </c>
      <c r="H23" s="204"/>
    </row>
    <row r="24" spans="1:8" s="37" customFormat="1" ht="12.75">
      <c r="A24" s="625"/>
      <c r="B24" s="626"/>
      <c r="C24" s="627"/>
      <c r="D24" s="628"/>
      <c r="H24" s="204"/>
    </row>
    <row r="25" spans="1:8" s="37" customFormat="1" ht="23.25" customHeight="1">
      <c r="A25" s="30" t="s">
        <v>2466</v>
      </c>
      <c r="B25" s="626" t="str">
        <f>SA_PREFA!C3</f>
        <v>Prefabrikované konstrukce</v>
      </c>
      <c r="C25" s="627" t="s">
        <v>1338</v>
      </c>
      <c r="D25" s="628">
        <f>SA_PREFA!G26</f>
        <v>0</v>
      </c>
      <c r="H25" s="204"/>
    </row>
    <row r="26" spans="1:8" s="37" customFormat="1" ht="12.75">
      <c r="A26" s="625"/>
      <c r="B26" s="626"/>
      <c r="C26" s="627"/>
      <c r="D26" s="628"/>
      <c r="H26" s="204"/>
    </row>
    <row r="27" spans="1:8" s="37" customFormat="1" ht="22.5" customHeight="1">
      <c r="A27" s="30"/>
      <c r="B27" s="31" t="str">
        <f>PBŘ!C4</f>
        <v>Požárně bezpečnostní řešení</v>
      </c>
      <c r="C27" s="32" t="s">
        <v>1026</v>
      </c>
      <c r="D27" s="33">
        <f>PBŘ!G25</f>
        <v>0</v>
      </c>
      <c r="H27" s="630"/>
    </row>
    <row r="28" spans="1:8" s="37" customFormat="1" ht="12.75">
      <c r="A28" s="30"/>
      <c r="B28" s="31"/>
      <c r="C28" s="32"/>
      <c r="D28" s="33"/>
      <c r="H28" s="204"/>
    </row>
    <row r="29" spans="1:8" s="37" customFormat="1" ht="21" customHeight="1">
      <c r="A29" s="30"/>
      <c r="B29" s="31" t="str">
        <f>ZTI!C4</f>
        <v>Zdravotně technické instalace</v>
      </c>
      <c r="C29" s="32" t="s">
        <v>10</v>
      </c>
      <c r="D29" s="33">
        <f>ZTI!G27</f>
        <v>0</v>
      </c>
      <c r="H29" s="630"/>
    </row>
    <row r="30" spans="1:8" s="37" customFormat="1" ht="12.75">
      <c r="A30" s="30"/>
      <c r="B30" s="31"/>
      <c r="C30" s="32"/>
      <c r="D30" s="33"/>
      <c r="H30" s="204"/>
    </row>
    <row r="31" spans="1:8" s="37" customFormat="1" ht="31.5" customHeight="1">
      <c r="A31" s="30"/>
      <c r="B31" s="31" t="str">
        <f>UT_TC!C4</f>
        <v>Ústřední vytápění_x005F_x000D_Strojovna ÚT  - tepelné čerpadlo</v>
      </c>
      <c r="C31" s="32" t="s">
        <v>906</v>
      </c>
      <c r="D31" s="33">
        <f>UT_TC!G30</f>
        <v>0</v>
      </c>
      <c r="H31" s="630"/>
    </row>
    <row r="32" spans="1:8" s="37" customFormat="1" ht="12.75">
      <c r="A32" s="30"/>
      <c r="B32" s="31"/>
      <c r="C32" s="32"/>
      <c r="D32" s="33"/>
      <c r="H32" s="204"/>
    </row>
    <row r="33" spans="1:4" s="37" customFormat="1" ht="31.5" customHeight="1">
      <c r="A33" s="30"/>
      <c r="B33" s="31" t="str">
        <f>UT_OS!C4</f>
        <v>Ústřední vytápění_x005F_x000D_Otopný systém</v>
      </c>
      <c r="C33" s="32" t="s">
        <v>907</v>
      </c>
      <c r="D33" s="33">
        <f>UT_OS!G27</f>
        <v>0</v>
      </c>
    </row>
    <row r="34" spans="1:4" s="37" customFormat="1" ht="12.75">
      <c r="A34" s="30"/>
      <c r="B34" s="31"/>
      <c r="C34" s="32"/>
      <c r="D34" s="33"/>
    </row>
    <row r="35" spans="1:4" s="37" customFormat="1" ht="30" customHeight="1">
      <c r="A35" s="30"/>
      <c r="B35" s="31" t="str">
        <f>VZT_01_02!C4</f>
        <v>Vzduchotechnika_x005F_x000D_Zařízení VZT 1.1 -sál a restaurace</v>
      </c>
      <c r="C35" s="32" t="s">
        <v>908</v>
      </c>
      <c r="D35" s="33">
        <f>VZT_01_02!G32</f>
        <v>0</v>
      </c>
    </row>
    <row r="36" spans="1:4" s="37" customFormat="1" ht="12.75">
      <c r="A36" s="30"/>
      <c r="B36" s="31"/>
      <c r="C36" s="32"/>
      <c r="D36" s="33"/>
    </row>
    <row r="37" spans="1:4" s="37" customFormat="1" ht="30" customHeight="1">
      <c r="A37" s="30"/>
      <c r="B37" s="31" t="str">
        <f>VZT_03!C4</f>
        <v>Vzduchotechnika_x005F_x000D_Zařízení VZT 3 - toalety a kuchyně</v>
      </c>
      <c r="C37" s="32" t="s">
        <v>909</v>
      </c>
      <c r="D37" s="33">
        <f>VZT_03!G28</f>
        <v>0</v>
      </c>
    </row>
    <row r="38" spans="1:4" s="37" customFormat="1" ht="12.75">
      <c r="A38" s="30"/>
      <c r="B38" s="31"/>
      <c r="C38" s="32"/>
      <c r="D38" s="33"/>
    </row>
    <row r="39" spans="1:4" s="37" customFormat="1" ht="17.25" customHeight="1">
      <c r="A39" s="30"/>
      <c r="B39" s="31" t="str">
        <f>EL_Silnoproud!C4</f>
        <v>Silnoproudá elektroinstalace</v>
      </c>
      <c r="C39" s="32" t="s">
        <v>562</v>
      </c>
      <c r="D39" s="33">
        <f>EL_Silnoproud!G32</f>
        <v>0</v>
      </c>
    </row>
    <row r="40" spans="1:4" s="37" customFormat="1" ht="12.75">
      <c r="A40" s="30"/>
      <c r="B40" s="31"/>
      <c r="C40" s="32"/>
      <c r="D40" s="33"/>
    </row>
    <row r="41" spans="1:4" s="37" customFormat="1" ht="17.25" customHeight="1">
      <c r="A41" s="30"/>
      <c r="B41" s="31" t="str">
        <f>EL_Slaboproud!C4</f>
        <v>Slaboproudá elektroinstalace</v>
      </c>
      <c r="C41" s="32" t="s">
        <v>563</v>
      </c>
      <c r="D41" s="33">
        <f>EL_Slaboproud!G26</f>
        <v>0</v>
      </c>
    </row>
    <row r="42" spans="1:4" ht="12.75">
      <c r="A42" s="30"/>
      <c r="B42" s="31"/>
      <c r="C42" s="32"/>
      <c r="D42" s="33"/>
    </row>
    <row r="43" spans="1:4" ht="12.75">
      <c r="A43" s="30"/>
      <c r="B43" s="31"/>
      <c r="C43" s="32"/>
      <c r="D43" s="33"/>
    </row>
    <row r="44" spans="1:4" ht="12.75">
      <c r="A44" s="30"/>
      <c r="B44" s="31"/>
      <c r="C44" s="32"/>
      <c r="D44" s="36"/>
    </row>
    <row r="45" spans="1:4" ht="29.25" customHeight="1">
      <c r="A45" s="38"/>
      <c r="B45" s="39" t="s">
        <v>11</v>
      </c>
      <c r="C45" s="40"/>
      <c r="D45" s="41">
        <f>SUBTOTAL(9,D8:D44)</f>
        <v>0</v>
      </c>
    </row>
    <row r="46" spans="1:4" ht="12.75">
      <c r="A46" s="42"/>
      <c r="B46" s="43"/>
      <c r="C46" s="44"/>
      <c r="D46" s="45"/>
    </row>
    <row r="47" spans="1:4" ht="34.5" customHeight="1">
      <c r="A47" s="42"/>
      <c r="B47" s="46" t="s">
        <v>2467</v>
      </c>
      <c r="C47" s="47"/>
      <c r="D47" s="45"/>
    </row>
    <row r="48" spans="1:4" ht="12.75">
      <c r="A48" s="42"/>
      <c r="B48" s="48"/>
      <c r="C48" s="47"/>
      <c r="D48" s="45"/>
    </row>
    <row r="49" spans="1:4" ht="29.25" customHeight="1">
      <c r="A49" s="38"/>
      <c r="B49" s="39" t="s">
        <v>12</v>
      </c>
      <c r="C49" s="49"/>
      <c r="D49" s="50">
        <f>SUM(D47:D47)</f>
        <v>0</v>
      </c>
    </row>
    <row r="50" spans="1:4" ht="12.75">
      <c r="A50" s="42"/>
      <c r="B50" s="48"/>
      <c r="C50" s="51"/>
      <c r="D50" s="45"/>
    </row>
    <row r="51" spans="1:4" ht="27" customHeight="1">
      <c r="A51" s="52"/>
      <c r="B51" s="53" t="s">
        <v>13</v>
      </c>
      <c r="C51" s="54"/>
      <c r="D51" s="55">
        <f>D45+D49</f>
        <v>0</v>
      </c>
    </row>
    <row r="52" spans="1:4" ht="12.75">
      <c r="A52" s="42"/>
      <c r="B52" s="48"/>
      <c r="C52" s="51"/>
      <c r="D52" s="45"/>
    </row>
    <row r="53" spans="1:4" ht="27" customHeight="1">
      <c r="A53" s="56"/>
      <c r="B53" s="57" t="s">
        <v>14</v>
      </c>
      <c r="C53" s="58"/>
      <c r="D53" s="59">
        <f>D51*0.21</f>
        <v>0</v>
      </c>
    </row>
    <row r="54" spans="1:4" ht="12.75">
      <c r="A54" s="42"/>
      <c r="B54" s="48"/>
      <c r="C54" s="51"/>
      <c r="D54" s="45"/>
    </row>
    <row r="55" spans="1:4" ht="26.25" customHeight="1">
      <c r="A55" s="60"/>
      <c r="B55" s="61" t="s">
        <v>15</v>
      </c>
      <c r="C55" s="62"/>
      <c r="D55" s="63">
        <f>D51+D53</f>
        <v>0</v>
      </c>
    </row>
    <row r="56" spans="1:4" ht="6.75" customHeight="1">
      <c r="A56" s="64"/>
      <c r="B56" s="65"/>
      <c r="C56" s="66"/>
      <c r="D56" s="67"/>
    </row>
    <row r="57" spans="1:4" ht="12.75">
      <c r="A57" s="68"/>
      <c r="B57" s="69"/>
      <c r="C57" s="70"/>
      <c r="D57" s="71"/>
    </row>
    <row r="59" spans="1:19" s="1375" customFormat="1" ht="63.75" customHeight="1">
      <c r="A59" s="1409" t="s">
        <v>2469</v>
      </c>
      <c r="B59" s="1410"/>
      <c r="C59" s="1410"/>
      <c r="D59" s="1411"/>
      <c r="E59" s="1374"/>
      <c r="F59" s="1374"/>
      <c r="G59" s="1374"/>
      <c r="H59" s="1374"/>
      <c r="I59" s="1374"/>
      <c r="J59" s="1374"/>
      <c r="K59" s="1374"/>
      <c r="L59" s="1374"/>
      <c r="M59" s="1374"/>
      <c r="N59" s="1374"/>
      <c r="O59" s="1374"/>
      <c r="P59" s="1374"/>
      <c r="Q59" s="1374"/>
      <c r="R59" s="1374"/>
      <c r="S59" s="1374"/>
    </row>
    <row r="60" spans="1:19" s="1375" customFormat="1" ht="32.25" customHeight="1">
      <c r="A60" s="1412" t="s">
        <v>2470</v>
      </c>
      <c r="B60" s="1413"/>
      <c r="C60" s="1413"/>
      <c r="D60" s="1414"/>
      <c r="E60" s="1374"/>
      <c r="F60" s="1374"/>
      <c r="G60" s="1374"/>
      <c r="H60" s="1374"/>
      <c r="I60" s="1374"/>
      <c r="J60" s="1374"/>
      <c r="K60" s="1374"/>
      <c r="L60" s="1374"/>
      <c r="M60" s="1374"/>
      <c r="N60" s="1374"/>
      <c r="O60" s="1374"/>
      <c r="P60" s="1374"/>
      <c r="Q60" s="1374"/>
      <c r="R60" s="1374"/>
      <c r="S60" s="1374"/>
    </row>
    <row r="61" spans="1:8" ht="12.75">
      <c r="A61" s="1376"/>
      <c r="B61" s="4"/>
      <c r="C61" s="4"/>
      <c r="D61" s="1377"/>
      <c r="G61" s="4"/>
      <c r="H61" s="4"/>
    </row>
    <row r="62" spans="1:22" s="1375" customFormat="1" ht="27.75" customHeight="1">
      <c r="A62" s="1378"/>
      <c r="B62" s="1379" t="s">
        <v>2471</v>
      </c>
      <c r="C62" s="1380"/>
      <c r="D62" s="1381"/>
      <c r="E62" s="1382"/>
      <c r="F62" s="1382"/>
      <c r="G62" s="1383"/>
      <c r="H62" s="1384"/>
      <c r="I62" s="1374"/>
      <c r="J62" s="1374"/>
      <c r="K62" s="1374"/>
      <c r="L62" s="1374"/>
      <c r="M62" s="1374"/>
      <c r="N62" s="1374"/>
      <c r="O62" s="1374"/>
      <c r="P62" s="1374"/>
      <c r="Q62" s="1374"/>
      <c r="R62" s="1374"/>
      <c r="S62" s="1374"/>
      <c r="T62" s="1374"/>
      <c r="U62" s="1374"/>
      <c r="V62" s="1374"/>
    </row>
    <row r="63" spans="1:22" s="1375" customFormat="1" ht="18.75" customHeight="1">
      <c r="A63" s="1378"/>
      <c r="B63" s="1379" t="s">
        <v>2472</v>
      </c>
      <c r="C63" s="1380"/>
      <c r="D63" s="1381"/>
      <c r="E63" s="1382"/>
      <c r="F63" s="1382"/>
      <c r="G63" s="1383"/>
      <c r="H63" s="1384"/>
      <c r="I63" s="1374"/>
      <c r="J63" s="1374"/>
      <c r="K63" s="1374"/>
      <c r="L63" s="1374"/>
      <c r="M63" s="1374"/>
      <c r="N63" s="1374"/>
      <c r="O63" s="1374"/>
      <c r="P63" s="1374"/>
      <c r="Q63" s="1374"/>
      <c r="R63" s="1374"/>
      <c r="S63" s="1374"/>
      <c r="T63" s="1374"/>
      <c r="U63" s="1374"/>
      <c r="V63" s="1374"/>
    </row>
    <row r="64" spans="1:22" s="1375" customFormat="1" ht="18.75" customHeight="1">
      <c r="A64" s="1378"/>
      <c r="B64" s="1379" t="s">
        <v>2473</v>
      </c>
      <c r="C64" s="1380"/>
      <c r="D64" s="1381"/>
      <c r="E64" s="1382"/>
      <c r="F64" s="1382"/>
      <c r="G64" s="1383"/>
      <c r="H64" s="1384"/>
      <c r="I64" s="1374"/>
      <c r="J64" s="1374"/>
      <c r="K64" s="1374"/>
      <c r="L64" s="1374"/>
      <c r="M64" s="1374"/>
      <c r="N64" s="1374"/>
      <c r="O64" s="1374"/>
      <c r="P64" s="1374"/>
      <c r="Q64" s="1374"/>
      <c r="R64" s="1374"/>
      <c r="S64" s="1374"/>
      <c r="T64" s="1374"/>
      <c r="U64" s="1374"/>
      <c r="V64" s="1374"/>
    </row>
    <row r="65" spans="1:22" s="1375" customFormat="1" ht="18.75" customHeight="1">
      <c r="A65" s="1378"/>
      <c r="B65" s="1379" t="s">
        <v>2474</v>
      </c>
      <c r="C65" s="1380"/>
      <c r="D65" s="1381"/>
      <c r="E65" s="1382"/>
      <c r="F65" s="1382"/>
      <c r="G65" s="1383"/>
      <c r="H65" s="1384"/>
      <c r="I65" s="1374"/>
      <c r="J65" s="1374"/>
      <c r="K65" s="1374"/>
      <c r="L65" s="1374"/>
      <c r="M65" s="1374"/>
      <c r="N65" s="1374"/>
      <c r="O65" s="1374"/>
      <c r="P65" s="1374"/>
      <c r="Q65" s="1374"/>
      <c r="R65" s="1374"/>
      <c r="S65" s="1374"/>
      <c r="T65" s="1374"/>
      <c r="U65" s="1374"/>
      <c r="V65" s="1374"/>
    </row>
  </sheetData>
  <sheetProtection selectLockedCells="1" selectUnlockedCells="1"/>
  <mergeCells count="3">
    <mergeCell ref="E1:F1"/>
    <mergeCell ref="A59:D59"/>
    <mergeCell ref="A60:D60"/>
  </mergeCells>
  <printOptions/>
  <pageMargins left="0.7086614173228347" right="0.7086614173228347" top="0.7874015748031497" bottom="0.7874015748031497" header="0.5118110236220472" footer="0.31496062992125984"/>
  <pageSetup horizontalDpi="300" verticalDpi="300" orientation="portrait" paperSize="9" scale="70"/>
  <headerFooter alignWithMargins="0">
    <oddFooter>&amp;L&amp;F
&amp;A&amp;C&amp;P/&amp;N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T97"/>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8" width="11.421875" style="480" customWidth="1"/>
    <col min="9" max="9" width="10.8515625" style="480" customWidth="1"/>
    <col min="10" max="10" width="10.28125" style="480" customWidth="1"/>
    <col min="11" max="11" width="10.421875" style="480" customWidth="1"/>
    <col min="12" max="12" width="8.8515625" style="480" customWidth="1"/>
    <col min="13" max="16384" width="8.8515625" style="80" customWidth="1"/>
  </cols>
  <sheetData>
    <row r="1" spans="1:8" ht="60" customHeight="1">
      <c r="A1" s="81"/>
      <c r="B1" s="82" t="s">
        <v>16</v>
      </c>
      <c r="C1" s="2" t="s">
        <v>1</v>
      </c>
      <c r="D1" s="2"/>
      <c r="E1" s="84"/>
      <c r="F1" s="1415" t="s">
        <v>2</v>
      </c>
      <c r="G1" s="1415"/>
      <c r="H1" s="481"/>
    </row>
    <row r="2" spans="1:8" ht="54.5" customHeight="1">
      <c r="A2" s="86"/>
      <c r="B2" s="87" t="s">
        <v>3</v>
      </c>
      <c r="C2" s="6" t="s">
        <v>2172</v>
      </c>
      <c r="D2" s="6"/>
      <c r="E2" s="89"/>
      <c r="F2" s="1416"/>
      <c r="G2" s="1416"/>
      <c r="H2" s="481"/>
    </row>
    <row r="3" spans="1:7" ht="50" customHeight="1">
      <c r="A3" s="86"/>
      <c r="B3" s="87" t="s">
        <v>17</v>
      </c>
      <c r="C3" s="8" t="s">
        <v>1154</v>
      </c>
      <c r="D3" s="89"/>
      <c r="E3" s="89"/>
      <c r="F3" s="1417" t="s">
        <v>1647</v>
      </c>
      <c r="G3" s="1417"/>
    </row>
    <row r="4" spans="1:7" ht="60.75" customHeight="1" thickBot="1">
      <c r="A4" s="91"/>
      <c r="B4" s="92" t="s">
        <v>19</v>
      </c>
      <c r="C4" s="11" t="s">
        <v>1160</v>
      </c>
      <c r="D4" s="94"/>
      <c r="E4" s="94"/>
      <c r="F4" s="1418"/>
      <c r="G4" s="1418"/>
    </row>
    <row r="5" spans="1:8" ht="15" customHeight="1" thickBot="1">
      <c r="A5" s="95"/>
      <c r="B5" s="96"/>
      <c r="C5" s="97"/>
      <c r="D5" s="98"/>
      <c r="E5" s="99"/>
      <c r="F5" s="100"/>
      <c r="G5" s="101"/>
      <c r="H5" s="77"/>
    </row>
    <row r="6" spans="1:12" s="109" customFormat="1" ht="11">
      <c r="A6" s="18" t="s">
        <v>20</v>
      </c>
      <c r="B6" s="20" t="s">
        <v>21</v>
      </c>
      <c r="C6" s="102" t="s">
        <v>22</v>
      </c>
      <c r="D6" s="20" t="s">
        <v>23</v>
      </c>
      <c r="E6" s="103" t="s">
        <v>24</v>
      </c>
      <c r="F6" s="104" t="s">
        <v>25</v>
      </c>
      <c r="G6" s="105" t="s">
        <v>26</v>
      </c>
      <c r="H6" s="106"/>
      <c r="I6" s="482"/>
      <c r="J6" s="482"/>
      <c r="K6" s="482"/>
      <c r="L6" s="482"/>
    </row>
    <row r="7" spans="1:12" s="109" customFormat="1" ht="5.25" customHeight="1" thickBot="1">
      <c r="A7" s="110"/>
      <c r="B7" s="111"/>
      <c r="C7" s="112"/>
      <c r="D7" s="111"/>
      <c r="E7" s="113"/>
      <c r="F7" s="114"/>
      <c r="G7" s="115"/>
      <c r="H7" s="106"/>
      <c r="I7" s="482"/>
      <c r="J7" s="482"/>
      <c r="K7" s="482"/>
      <c r="L7" s="482"/>
    </row>
    <row r="8" spans="1:12" s="125" customFormat="1" ht="12.75">
      <c r="A8" s="116"/>
      <c r="B8" s="117"/>
      <c r="C8" s="118"/>
      <c r="D8" s="118"/>
      <c r="E8" s="119"/>
      <c r="F8" s="120"/>
      <c r="G8" s="121"/>
      <c r="H8" s="122"/>
      <c r="I8" s="483"/>
      <c r="J8" s="483"/>
      <c r="K8" s="483"/>
      <c r="L8" s="483"/>
    </row>
    <row r="9" spans="1:12" s="133" customFormat="1" ht="12.75">
      <c r="A9" s="1007"/>
      <c r="B9" s="1008"/>
      <c r="C9" s="1009" t="s">
        <v>27</v>
      </c>
      <c r="D9" s="1008"/>
      <c r="E9" s="129"/>
      <c r="F9" s="1010"/>
      <c r="G9" s="131"/>
      <c r="H9" s="132"/>
      <c r="I9" s="484"/>
      <c r="J9" s="484"/>
      <c r="K9" s="484"/>
      <c r="L9" s="484"/>
    </row>
    <row r="10" spans="1:7" ht="56.25" customHeight="1" hidden="1">
      <c r="A10" s="1011"/>
      <c r="B10" s="1012"/>
      <c r="C10" s="948" t="s">
        <v>28</v>
      </c>
      <c r="D10" s="1012"/>
      <c r="E10" s="1013"/>
      <c r="F10" s="1014"/>
      <c r="G10" s="1015"/>
    </row>
    <row r="11" spans="1:7" ht="35.25" customHeight="1" hidden="1">
      <c r="A11" s="1011"/>
      <c r="B11" s="1012"/>
      <c r="C11" s="948" t="s">
        <v>29</v>
      </c>
      <c r="D11" s="1012"/>
      <c r="E11" s="1013"/>
      <c r="F11" s="1014"/>
      <c r="G11" s="1015"/>
    </row>
    <row r="12" spans="1:7" ht="30.75" customHeight="1" hidden="1">
      <c r="A12" s="1011"/>
      <c r="B12" s="1012"/>
      <c r="C12" s="948" t="s">
        <v>30</v>
      </c>
      <c r="D12" s="1012"/>
      <c r="E12" s="1013"/>
      <c r="F12" s="1014"/>
      <c r="G12" s="1015"/>
    </row>
    <row r="13" spans="1:7" ht="66" customHeight="1" hidden="1">
      <c r="A13" s="1016"/>
      <c r="B13" s="1017"/>
      <c r="C13" s="1018" t="s">
        <v>31</v>
      </c>
      <c r="D13" s="1017"/>
      <c r="E13" s="1019"/>
      <c r="F13" s="1020"/>
      <c r="G13" s="1021"/>
    </row>
    <row r="14" spans="1:7" ht="63" customHeight="1" hidden="1">
      <c r="A14" s="145"/>
      <c r="B14" s="146"/>
      <c r="C14" s="486" t="s">
        <v>32</v>
      </c>
      <c r="D14" s="146"/>
      <c r="E14" s="147"/>
      <c r="F14" s="148"/>
      <c r="G14" s="149"/>
    </row>
    <row r="15" spans="1:7" ht="29.25" customHeight="1" hidden="1">
      <c r="A15" s="1011"/>
      <c r="B15" s="1012"/>
      <c r="C15" s="1022" t="s">
        <v>33</v>
      </c>
      <c r="D15" s="1012"/>
      <c r="E15" s="1013"/>
      <c r="F15" s="1014"/>
      <c r="G15" s="1015"/>
    </row>
    <row r="16" spans="1:7" ht="36.75" customHeight="1" hidden="1">
      <c r="A16" s="1011"/>
      <c r="B16" s="1012"/>
      <c r="C16" s="1022" t="s">
        <v>34</v>
      </c>
      <c r="D16" s="1012"/>
      <c r="E16" s="1013"/>
      <c r="F16" s="1014"/>
      <c r="G16" s="1015"/>
    </row>
    <row r="17" spans="1:7" ht="43.5" customHeight="1" hidden="1">
      <c r="A17" s="1011"/>
      <c r="B17" s="1012"/>
      <c r="C17" s="1022" t="s">
        <v>35</v>
      </c>
      <c r="D17" s="1012"/>
      <c r="E17" s="1013"/>
      <c r="F17" s="1014"/>
      <c r="G17" s="1015"/>
    </row>
    <row r="18" spans="1:12" s="133" customFormat="1" ht="12.75">
      <c r="A18" s="1007"/>
      <c r="B18" s="1008"/>
      <c r="C18" s="1023"/>
      <c r="D18" s="1008"/>
      <c r="E18" s="129"/>
      <c r="F18" s="1010"/>
      <c r="G18" s="131"/>
      <c r="H18" s="132"/>
      <c r="I18" s="484"/>
      <c r="J18" s="484"/>
      <c r="K18" s="484"/>
      <c r="L18" s="484"/>
    </row>
    <row r="19" spans="1:12" s="125" customFormat="1" ht="33" customHeight="1">
      <c r="A19" s="1024"/>
      <c r="B19" s="1025"/>
      <c r="C19" s="1026" t="s">
        <v>36</v>
      </c>
      <c r="D19" s="1025"/>
      <c r="E19" s="155"/>
      <c r="F19" s="1027"/>
      <c r="G19" s="157"/>
      <c r="H19" s="122"/>
      <c r="I19" s="483"/>
      <c r="J19" s="483"/>
      <c r="K19" s="483"/>
      <c r="L19" s="483"/>
    </row>
    <row r="20" spans="1:12" s="125" customFormat="1" ht="22">
      <c r="A20" s="1024"/>
      <c r="B20" s="1025"/>
      <c r="C20" s="1028" t="s">
        <v>37</v>
      </c>
      <c r="D20" s="1025"/>
      <c r="E20" s="155"/>
      <c r="F20" s="1027"/>
      <c r="G20" s="394"/>
      <c r="H20" s="122"/>
      <c r="I20" s="483"/>
      <c r="J20" s="483"/>
      <c r="K20" s="483"/>
      <c r="L20" s="483"/>
    </row>
    <row r="21" spans="1:12" s="125" customFormat="1" ht="17.75" customHeight="1">
      <c r="A21" s="742" t="str">
        <f>A28</f>
        <v>1</v>
      </c>
      <c r="B21" s="999"/>
      <c r="C21" s="1000" t="str">
        <f>C28</f>
        <v>Zemní práce</v>
      </c>
      <c r="D21" s="1001"/>
      <c r="E21" s="1001"/>
      <c r="F21" s="1002"/>
      <c r="G21" s="747">
        <f>G38</f>
        <v>0</v>
      </c>
      <c r="H21" s="122"/>
      <c r="I21" s="483"/>
      <c r="J21" s="483"/>
      <c r="K21" s="483"/>
      <c r="L21" s="483"/>
    </row>
    <row r="22" spans="1:12" s="125" customFormat="1" ht="17.75" customHeight="1">
      <c r="A22" s="742" t="str">
        <f>A40</f>
        <v>2</v>
      </c>
      <c r="B22" s="999"/>
      <c r="C22" s="1000" t="str">
        <f>C40</f>
        <v>Zakládání</v>
      </c>
      <c r="D22" s="1001"/>
      <c r="E22" s="1001"/>
      <c r="F22" s="1002"/>
      <c r="G22" s="747">
        <f>G61</f>
        <v>0</v>
      </c>
      <c r="H22" s="122"/>
      <c r="I22" s="483"/>
      <c r="J22" s="483"/>
      <c r="K22" s="483"/>
      <c r="L22" s="483"/>
    </row>
    <row r="23" spans="1:12" s="125" customFormat="1" ht="17.75" customHeight="1">
      <c r="A23" s="742" t="str">
        <f>A63</f>
        <v>3</v>
      </c>
      <c r="B23" s="999"/>
      <c r="C23" s="1000" t="str">
        <f>C63</f>
        <v>Prefa konstrukce</v>
      </c>
      <c r="D23" s="1001"/>
      <c r="E23" s="1001"/>
      <c r="F23" s="1002"/>
      <c r="G23" s="747">
        <f>G82</f>
        <v>0</v>
      </c>
      <c r="H23" s="122"/>
      <c r="I23" s="483"/>
      <c r="J23" s="483"/>
      <c r="K23" s="483"/>
      <c r="L23" s="483"/>
    </row>
    <row r="24" spans="1:7" ht="18" customHeight="1">
      <c r="A24" s="742" t="str">
        <f>A84</f>
        <v>A</v>
      </c>
      <c r="B24" s="999"/>
      <c r="C24" s="1000" t="str">
        <f>C84</f>
        <v>Ostatní náklady</v>
      </c>
      <c r="D24" s="1001"/>
      <c r="E24" s="1001"/>
      <c r="F24" s="1002"/>
      <c r="G24" s="747">
        <f>G88</f>
        <v>0</v>
      </c>
    </row>
    <row r="25" spans="1:7" ht="13" thickBot="1">
      <c r="A25" s="742"/>
      <c r="B25" s="1025"/>
      <c r="C25" s="1029"/>
      <c r="D25" s="1025"/>
      <c r="E25" s="1030"/>
      <c r="F25" s="1027"/>
      <c r="G25" s="747"/>
    </row>
    <row r="26" spans="1:7" ht="28.5" customHeight="1" thickBot="1">
      <c r="A26" s="170"/>
      <c r="B26" s="171"/>
      <c r="C26" s="172" t="s">
        <v>38</v>
      </c>
      <c r="D26" s="175"/>
      <c r="E26" s="174"/>
      <c r="F26" s="175"/>
      <c r="G26" s="176">
        <f>SUM(G21:G24)</f>
        <v>0</v>
      </c>
    </row>
    <row r="27" spans="1:7" ht="13" thickBot="1">
      <c r="A27" s="179"/>
      <c r="B27" s="180"/>
      <c r="C27" s="180"/>
      <c r="D27" s="180"/>
      <c r="E27" s="180"/>
      <c r="F27" s="180"/>
      <c r="G27" s="396"/>
    </row>
    <row r="28" spans="1:12" s="125" customFormat="1" ht="18" customHeight="1" thickBot="1">
      <c r="A28" s="182" t="s">
        <v>43</v>
      </c>
      <c r="B28" s="183"/>
      <c r="C28" s="184" t="s">
        <v>1161</v>
      </c>
      <c r="D28" s="397"/>
      <c r="E28" s="398"/>
      <c r="F28" s="187"/>
      <c r="G28" s="399"/>
      <c r="H28" s="122"/>
      <c r="I28" s="483"/>
      <c r="J28" s="483"/>
      <c r="K28" s="483"/>
      <c r="L28" s="483"/>
    </row>
    <row r="29" spans="1:12" s="125" customFormat="1" ht="12.75" customHeight="1">
      <c r="A29" s="189"/>
      <c r="B29" s="400"/>
      <c r="C29" s="232"/>
      <c r="D29" s="233"/>
      <c r="E29" s="401"/>
      <c r="F29" s="402"/>
      <c r="G29" s="403"/>
      <c r="H29" s="122"/>
      <c r="I29" s="483"/>
      <c r="J29" s="483"/>
      <c r="K29" s="483"/>
      <c r="L29" s="483"/>
    </row>
    <row r="30" spans="1:12" s="510" customFormat="1" ht="36" customHeight="1">
      <c r="A30" s="455" t="s">
        <v>45</v>
      </c>
      <c r="B30" s="305" t="s">
        <v>1162</v>
      </c>
      <c r="C30" s="306" t="s">
        <v>1163</v>
      </c>
      <c r="D30" s="305" t="s">
        <v>52</v>
      </c>
      <c r="E30" s="439">
        <v>19.6</v>
      </c>
      <c r="F30" s="439"/>
      <c r="G30" s="781">
        <f aca="true" t="shared" si="0" ref="G30:G35">E30*F30</f>
        <v>0</v>
      </c>
      <c r="H30" s="701"/>
      <c r="I30" s="940"/>
      <c r="J30" s="940"/>
      <c r="K30" s="940"/>
      <c r="L30" s="940"/>
    </row>
    <row r="31" spans="1:12" s="944" customFormat="1" ht="16.5" customHeight="1">
      <c r="A31" s="683"/>
      <c r="B31" s="686"/>
      <c r="C31" s="687" t="s">
        <v>1187</v>
      </c>
      <c r="D31" s="1031">
        <f>18.12*2*0.45*1*1.2+0.03</f>
        <v>19.5996</v>
      </c>
      <c r="E31" s="616"/>
      <c r="F31" s="616"/>
      <c r="G31" s="941"/>
      <c r="H31" s="942"/>
      <c r="I31" s="943"/>
      <c r="J31" s="943"/>
      <c r="K31" s="943"/>
      <c r="L31" s="943"/>
    </row>
    <row r="32" spans="1:12" s="510" customFormat="1" ht="22.5" customHeight="1">
      <c r="A32" s="455" t="s">
        <v>47</v>
      </c>
      <c r="B32" s="305" t="s">
        <v>1164</v>
      </c>
      <c r="C32" s="306" t="s">
        <v>1165</v>
      </c>
      <c r="D32" s="305" t="s">
        <v>52</v>
      </c>
      <c r="E32" s="439">
        <v>19.6</v>
      </c>
      <c r="F32" s="439"/>
      <c r="G32" s="781">
        <f t="shared" si="0"/>
        <v>0</v>
      </c>
      <c r="H32" s="701"/>
      <c r="I32" s="940"/>
      <c r="J32" s="940"/>
      <c r="K32" s="940"/>
      <c r="L32" s="940"/>
    </row>
    <row r="33" spans="1:12" s="510" customFormat="1" ht="36" customHeight="1">
      <c r="A33" s="455" t="s">
        <v>50</v>
      </c>
      <c r="B33" s="305" t="s">
        <v>96</v>
      </c>
      <c r="C33" s="306" t="s">
        <v>97</v>
      </c>
      <c r="D33" s="305" t="s">
        <v>52</v>
      </c>
      <c r="E33" s="439">
        <v>19.6</v>
      </c>
      <c r="F33" s="439"/>
      <c r="G33" s="781">
        <f t="shared" si="0"/>
        <v>0</v>
      </c>
      <c r="H33" s="701"/>
      <c r="I33" s="940"/>
      <c r="J33" s="940"/>
      <c r="K33" s="940"/>
      <c r="L33" s="940"/>
    </row>
    <row r="34" spans="1:12" s="510" customFormat="1" ht="24" customHeight="1">
      <c r="A34" s="455" t="s">
        <v>53</v>
      </c>
      <c r="B34" s="305" t="s">
        <v>104</v>
      </c>
      <c r="C34" s="306" t="s">
        <v>105</v>
      </c>
      <c r="D34" s="305" t="s">
        <v>52</v>
      </c>
      <c r="E34" s="439">
        <v>19.6</v>
      </c>
      <c r="F34" s="439"/>
      <c r="G34" s="781">
        <f t="shared" si="0"/>
        <v>0</v>
      </c>
      <c r="H34" s="701"/>
      <c r="I34" s="940"/>
      <c r="J34" s="940"/>
      <c r="K34" s="940"/>
      <c r="L34" s="940"/>
    </row>
    <row r="35" spans="1:12" s="510" customFormat="1" ht="36" customHeight="1">
      <c r="A35" s="455" t="s">
        <v>56</v>
      </c>
      <c r="B35" s="305" t="s">
        <v>108</v>
      </c>
      <c r="C35" s="306" t="s">
        <v>1166</v>
      </c>
      <c r="D35" s="305" t="s">
        <v>73</v>
      </c>
      <c r="E35" s="439">
        <f>SUM(D36)</f>
        <v>35.28</v>
      </c>
      <c r="F35" s="439"/>
      <c r="G35" s="781">
        <f t="shared" si="0"/>
        <v>0</v>
      </c>
      <c r="H35" s="701"/>
      <c r="I35" s="940"/>
      <c r="J35" s="940"/>
      <c r="K35" s="940"/>
      <c r="L35" s="940"/>
    </row>
    <row r="36" spans="1:12" s="944" customFormat="1" ht="16.5" customHeight="1">
      <c r="A36" s="683"/>
      <c r="B36" s="686"/>
      <c r="C36" s="687" t="s">
        <v>1188</v>
      </c>
      <c r="D36" s="1031">
        <f>19.6*1.8</f>
        <v>35.28</v>
      </c>
      <c r="E36" s="616"/>
      <c r="F36" s="616"/>
      <c r="G36" s="941"/>
      <c r="H36" s="942"/>
      <c r="I36" s="943"/>
      <c r="J36" s="943"/>
      <c r="K36" s="943"/>
      <c r="L36" s="943"/>
    </row>
    <row r="37" spans="1:7" ht="14" thickBot="1">
      <c r="A37" s="1032"/>
      <c r="B37" s="1033"/>
      <c r="C37" s="1034"/>
      <c r="D37" s="1035"/>
      <c r="E37" s="1036"/>
      <c r="F37" s="870"/>
      <c r="G37" s="1037"/>
    </row>
    <row r="38" spans="1:7" ht="19.5" customHeight="1" thickBot="1">
      <c r="A38" s="225"/>
      <c r="B38" s="226"/>
      <c r="C38" s="227" t="s">
        <v>113</v>
      </c>
      <c r="D38" s="226"/>
      <c r="E38" s="416"/>
      <c r="F38" s="417"/>
      <c r="G38" s="230">
        <f>SUBTOTAL(9,G29:G37)</f>
        <v>0</v>
      </c>
    </row>
    <row r="39" spans="1:7" ht="13" thickBot="1">
      <c r="A39" s="179"/>
      <c r="B39" s="180"/>
      <c r="C39" s="180"/>
      <c r="D39" s="180"/>
      <c r="E39" s="180"/>
      <c r="F39" s="180"/>
      <c r="G39" s="396"/>
    </row>
    <row r="40" spans="1:7" ht="17.25" customHeight="1" thickBot="1">
      <c r="A40" s="182" t="s">
        <v>100</v>
      </c>
      <c r="B40" s="183"/>
      <c r="C40" s="184" t="s">
        <v>1185</v>
      </c>
      <c r="D40" s="397"/>
      <c r="E40" s="398"/>
      <c r="F40" s="187"/>
      <c r="G40" s="399"/>
    </row>
    <row r="41" spans="1:7" ht="12.75">
      <c r="A41" s="189"/>
      <c r="B41" s="400"/>
      <c r="C41" s="232"/>
      <c r="D41" s="233"/>
      <c r="E41" s="401"/>
      <c r="F41" s="402"/>
      <c r="G41" s="403"/>
    </row>
    <row r="42" spans="1:11" ht="26.25" customHeight="1">
      <c r="A42" s="572" t="s">
        <v>115</v>
      </c>
      <c r="B42" s="305" t="s">
        <v>1167</v>
      </c>
      <c r="C42" s="306" t="s">
        <v>1168</v>
      </c>
      <c r="D42" s="489" t="s">
        <v>52</v>
      </c>
      <c r="E42" s="490">
        <v>7.54</v>
      </c>
      <c r="F42" s="439"/>
      <c r="G42" s="781">
        <f aca="true" t="shared" si="1" ref="G42:G56">E42*F42</f>
        <v>0</v>
      </c>
      <c r="J42" s="480">
        <v>2.16</v>
      </c>
      <c r="K42" s="480">
        <f>J42*E42</f>
        <v>16.2864</v>
      </c>
    </row>
    <row r="43" spans="1:11" ht="20.25" customHeight="1">
      <c r="A43" s="572" t="s">
        <v>117</v>
      </c>
      <c r="B43" s="305" t="s">
        <v>1169</v>
      </c>
      <c r="C43" s="306" t="s">
        <v>1170</v>
      </c>
      <c r="D43" s="489" t="s">
        <v>52</v>
      </c>
      <c r="E43" s="490">
        <f>SUM(D44)</f>
        <v>1.8120000000000003</v>
      </c>
      <c r="F43" s="439"/>
      <c r="G43" s="781">
        <f t="shared" si="1"/>
        <v>0</v>
      </c>
      <c r="J43" s="480">
        <v>2.25634</v>
      </c>
      <c r="K43" s="480">
        <f>J43*E43</f>
        <v>4.08848808</v>
      </c>
    </row>
    <row r="44" spans="1:12" s="944" customFormat="1" ht="16.5" customHeight="1">
      <c r="A44" s="683"/>
      <c r="B44" s="686"/>
      <c r="C44" s="687" t="s">
        <v>1189</v>
      </c>
      <c r="D44" s="1031">
        <f>18.12*2*0.5*0.1</f>
        <v>1.8120000000000003</v>
      </c>
      <c r="E44" s="616"/>
      <c r="F44" s="616"/>
      <c r="G44" s="941"/>
      <c r="H44" s="942"/>
      <c r="I44" s="943"/>
      <c r="J44" s="943"/>
      <c r="K44" s="943"/>
      <c r="L44" s="943"/>
    </row>
    <row r="45" spans="1:12" s="204" customFormat="1" ht="20.25" customHeight="1">
      <c r="A45" s="455" t="s">
        <v>119</v>
      </c>
      <c r="B45" s="305" t="s">
        <v>1171</v>
      </c>
      <c r="C45" s="306" t="s">
        <v>1172</v>
      </c>
      <c r="D45" s="305" t="s">
        <v>52</v>
      </c>
      <c r="E45" s="439">
        <f>SUM(D46)</f>
        <v>14.677200000000001</v>
      </c>
      <c r="F45" s="439"/>
      <c r="G45" s="781">
        <f t="shared" si="1"/>
        <v>0</v>
      </c>
      <c r="H45" s="481"/>
      <c r="I45" s="481"/>
      <c r="J45" s="481">
        <v>2.25634</v>
      </c>
      <c r="K45" s="481">
        <f>J45*E45</f>
        <v>33.116753448</v>
      </c>
      <c r="L45" s="481"/>
    </row>
    <row r="46" spans="1:12" s="944" customFormat="1" ht="16.5" customHeight="1">
      <c r="A46" s="683"/>
      <c r="B46" s="686"/>
      <c r="C46" s="687" t="s">
        <v>1190</v>
      </c>
      <c r="D46" s="1031">
        <f>18.12*2*0.45*0.9</f>
        <v>14.677200000000001</v>
      </c>
      <c r="E46" s="616"/>
      <c r="F46" s="616"/>
      <c r="G46" s="941"/>
      <c r="H46" s="942"/>
      <c r="I46" s="943"/>
      <c r="J46" s="943"/>
      <c r="K46" s="943"/>
      <c r="L46" s="943"/>
    </row>
    <row r="47" spans="1:12" s="204" customFormat="1" ht="20.25" customHeight="1">
      <c r="A47" s="455" t="s">
        <v>295</v>
      </c>
      <c r="B47" s="305" t="s">
        <v>1173</v>
      </c>
      <c r="C47" s="306" t="s">
        <v>1174</v>
      </c>
      <c r="D47" s="305" t="s">
        <v>46</v>
      </c>
      <c r="E47" s="439">
        <f>SUM(D48)</f>
        <v>65.232</v>
      </c>
      <c r="F47" s="439"/>
      <c r="G47" s="781">
        <f t="shared" si="1"/>
        <v>0</v>
      </c>
      <c r="H47" s="481"/>
      <c r="I47" s="481"/>
      <c r="J47" s="481">
        <v>0.00269</v>
      </c>
      <c r="K47" s="481">
        <f>J47*E47</f>
        <v>0.17547408</v>
      </c>
      <c r="L47" s="481"/>
    </row>
    <row r="48" spans="1:12" s="944" customFormat="1" ht="16.5" customHeight="1">
      <c r="A48" s="683"/>
      <c r="B48" s="686"/>
      <c r="C48" s="687" t="s">
        <v>1191</v>
      </c>
      <c r="D48" s="1031">
        <f>18.12*2*2*0.9</f>
        <v>65.232</v>
      </c>
      <c r="E48" s="616"/>
      <c r="F48" s="616"/>
      <c r="G48" s="941"/>
      <c r="H48" s="942"/>
      <c r="I48" s="943"/>
      <c r="J48" s="943"/>
      <c r="K48" s="943"/>
      <c r="L48" s="943"/>
    </row>
    <row r="49" spans="1:12" s="204" customFormat="1" ht="20.25" customHeight="1">
      <c r="A49" s="455" t="s">
        <v>299</v>
      </c>
      <c r="B49" s="305" t="s">
        <v>1175</v>
      </c>
      <c r="C49" s="306" t="s">
        <v>1176</v>
      </c>
      <c r="D49" s="305" t="s">
        <v>46</v>
      </c>
      <c r="E49" s="439">
        <f>E47</f>
        <v>65.232</v>
      </c>
      <c r="F49" s="439"/>
      <c r="G49" s="781">
        <f t="shared" si="1"/>
        <v>0</v>
      </c>
      <c r="H49" s="481"/>
      <c r="I49" s="481"/>
      <c r="J49" s="481">
        <v>0</v>
      </c>
      <c r="K49" s="481">
        <f>J49*E49</f>
        <v>0</v>
      </c>
      <c r="L49" s="481"/>
    </row>
    <row r="50" spans="1:12" s="944" customFormat="1" ht="16.5" customHeight="1">
      <c r="A50" s="683"/>
      <c r="B50" s="686"/>
      <c r="C50" s="687" t="s">
        <v>1191</v>
      </c>
      <c r="D50" s="1031">
        <f>18.12*2*2*0.9</f>
        <v>65.232</v>
      </c>
      <c r="E50" s="616"/>
      <c r="F50" s="616"/>
      <c r="G50" s="941"/>
      <c r="H50" s="942"/>
      <c r="I50" s="943"/>
      <c r="J50" s="943"/>
      <c r="K50" s="943"/>
      <c r="L50" s="943"/>
    </row>
    <row r="51" spans="1:12" s="204" customFormat="1" ht="20.25" customHeight="1">
      <c r="A51" s="455" t="s">
        <v>301</v>
      </c>
      <c r="B51" s="305" t="s">
        <v>1177</v>
      </c>
      <c r="C51" s="306" t="s">
        <v>1178</v>
      </c>
      <c r="D51" s="305" t="s">
        <v>52</v>
      </c>
      <c r="E51" s="439">
        <v>4.48</v>
      </c>
      <c r="F51" s="439"/>
      <c r="G51" s="781">
        <f t="shared" si="1"/>
        <v>0</v>
      </c>
      <c r="H51" s="481"/>
      <c r="I51" s="481"/>
      <c r="J51" s="481">
        <v>2.25634</v>
      </c>
      <c r="K51" s="481">
        <f>J51*E51</f>
        <v>10.1084032</v>
      </c>
      <c r="L51" s="481"/>
    </row>
    <row r="52" spans="1:12" s="944" customFormat="1" ht="16.5" customHeight="1">
      <c r="A52" s="683"/>
      <c r="B52" s="686"/>
      <c r="C52" s="687" t="s">
        <v>1192</v>
      </c>
      <c r="D52" s="1031">
        <f>(14.53*1.69+3.6*1.48)*0.15</f>
        <v>4.482555</v>
      </c>
      <c r="E52" s="616"/>
      <c r="F52" s="616"/>
      <c r="G52" s="941"/>
      <c r="H52" s="942"/>
      <c r="I52" s="943"/>
      <c r="J52" s="943"/>
      <c r="K52" s="943"/>
      <c r="L52" s="943"/>
    </row>
    <row r="53" spans="1:12" s="204" customFormat="1" ht="20.25" customHeight="1">
      <c r="A53" s="455" t="s">
        <v>304</v>
      </c>
      <c r="B53" s="305" t="s">
        <v>1179</v>
      </c>
      <c r="C53" s="306" t="s">
        <v>1180</v>
      </c>
      <c r="D53" s="305" t="s">
        <v>46</v>
      </c>
      <c r="E53" s="439">
        <v>6.4</v>
      </c>
      <c r="F53" s="439"/>
      <c r="G53" s="781">
        <f t="shared" si="1"/>
        <v>0</v>
      </c>
      <c r="H53" s="481"/>
      <c r="I53" s="481"/>
      <c r="J53" s="481">
        <v>0.00247</v>
      </c>
      <c r="K53" s="481">
        <f>J53*E53</f>
        <v>0.015808</v>
      </c>
      <c r="L53" s="481"/>
    </row>
    <row r="54" spans="1:12" s="944" customFormat="1" ht="16.5" customHeight="1">
      <c r="A54" s="683"/>
      <c r="B54" s="686"/>
      <c r="C54" s="687" t="s">
        <v>1193</v>
      </c>
      <c r="D54" s="1031">
        <f>(14.53*2+3.6*2+1.69*2+1.48*2)*0.15+0.01</f>
        <v>6.3999999999999995</v>
      </c>
      <c r="E54" s="616"/>
      <c r="F54" s="616"/>
      <c r="G54" s="941"/>
      <c r="H54" s="942"/>
      <c r="I54" s="943"/>
      <c r="J54" s="943"/>
      <c r="K54" s="943"/>
      <c r="L54" s="943"/>
    </row>
    <row r="55" spans="1:12" s="204" customFormat="1" ht="20.25" customHeight="1">
      <c r="A55" s="455" t="s">
        <v>307</v>
      </c>
      <c r="B55" s="305" t="s">
        <v>1181</v>
      </c>
      <c r="C55" s="306" t="s">
        <v>1182</v>
      </c>
      <c r="D55" s="305" t="s">
        <v>46</v>
      </c>
      <c r="E55" s="439">
        <f>E53</f>
        <v>6.4</v>
      </c>
      <c r="F55" s="439"/>
      <c r="G55" s="781">
        <f t="shared" si="1"/>
        <v>0</v>
      </c>
      <c r="H55" s="481"/>
      <c r="I55" s="481"/>
      <c r="J55" s="481">
        <v>0</v>
      </c>
      <c r="K55" s="481">
        <f>J55*E55</f>
        <v>0</v>
      </c>
      <c r="L55" s="481"/>
    </row>
    <row r="56" spans="1:12" s="204" customFormat="1" ht="20.25" customHeight="1">
      <c r="A56" s="455" t="s">
        <v>310</v>
      </c>
      <c r="B56" s="305" t="s">
        <v>1183</v>
      </c>
      <c r="C56" s="306" t="s">
        <v>1184</v>
      </c>
      <c r="D56" s="305" t="s">
        <v>73</v>
      </c>
      <c r="E56" s="439">
        <f>SUM(D57)</f>
        <v>0.193646376</v>
      </c>
      <c r="F56" s="439"/>
      <c r="G56" s="781">
        <f t="shared" si="1"/>
        <v>0</v>
      </c>
      <c r="H56" s="481"/>
      <c r="I56" s="481"/>
      <c r="J56" s="481">
        <v>1.06277</v>
      </c>
      <c r="K56" s="481">
        <f>J56*E56</f>
        <v>0.20580155902152</v>
      </c>
      <c r="L56" s="481"/>
    </row>
    <row r="57" spans="1:12" s="944" customFormat="1" ht="16.5" customHeight="1">
      <c r="A57" s="455"/>
      <c r="B57" s="686"/>
      <c r="C57" s="687" t="s">
        <v>1194</v>
      </c>
      <c r="D57" s="1031">
        <f>(14.53*1.69+3.6*1.48)*1.2*5.4*0.001</f>
        <v>0.193646376</v>
      </c>
      <c r="E57" s="616"/>
      <c r="F57" s="616"/>
      <c r="G57" s="941"/>
      <c r="H57" s="942"/>
      <c r="I57" s="943"/>
      <c r="J57" s="943"/>
      <c r="K57" s="943"/>
      <c r="L57" s="943"/>
    </row>
    <row r="58" spans="1:12" s="204" customFormat="1" ht="13.5" customHeight="1">
      <c r="A58" s="455"/>
      <c r="B58" s="477"/>
      <c r="C58" s="306"/>
      <c r="D58" s="305"/>
      <c r="E58" s="439"/>
      <c r="F58" s="439"/>
      <c r="G58" s="478"/>
      <c r="H58" s="481"/>
      <c r="I58" s="481"/>
      <c r="J58" s="481"/>
      <c r="K58" s="481"/>
      <c r="L58" s="481"/>
    </row>
    <row r="59" spans="1:20" s="204" customFormat="1" ht="20.25" customHeight="1">
      <c r="A59" s="455" t="s">
        <v>311</v>
      </c>
      <c r="B59" s="305" t="s">
        <v>169</v>
      </c>
      <c r="C59" s="306" t="s">
        <v>1114</v>
      </c>
      <c r="D59" s="305" t="s">
        <v>73</v>
      </c>
      <c r="E59" s="947">
        <f>K59</f>
        <v>63.997128367021524</v>
      </c>
      <c r="F59" s="947"/>
      <c r="G59" s="781">
        <f>E59*F59</f>
        <v>0</v>
      </c>
      <c r="H59" s="85"/>
      <c r="I59" s="85"/>
      <c r="J59" s="85"/>
      <c r="K59" s="217">
        <f>SUM(K41:K58)</f>
        <v>63.997128367021524</v>
      </c>
      <c r="L59" s="85"/>
      <c r="M59" s="85"/>
      <c r="N59" s="202"/>
      <c r="O59" s="203"/>
      <c r="P59" s="203"/>
      <c r="Q59" s="203"/>
      <c r="R59" s="203"/>
      <c r="S59" s="203"/>
      <c r="T59" s="203"/>
    </row>
    <row r="60" spans="1:7" ht="14" thickBot="1">
      <c r="A60" s="1032"/>
      <c r="B60" s="1033"/>
      <c r="C60" s="1034"/>
      <c r="D60" s="1035"/>
      <c r="E60" s="1036"/>
      <c r="F60" s="870"/>
      <c r="G60" s="1037"/>
    </row>
    <row r="61" spans="1:7" ht="13" thickBot="1">
      <c r="A61" s="225"/>
      <c r="B61" s="226"/>
      <c r="C61" s="227" t="s">
        <v>113</v>
      </c>
      <c r="D61" s="226"/>
      <c r="E61" s="416"/>
      <c r="F61" s="417"/>
      <c r="G61" s="230">
        <f>SUBTOTAL(9,G41:G60)</f>
        <v>0</v>
      </c>
    </row>
    <row r="62" spans="1:7" ht="13" thickBot="1">
      <c r="A62" s="179"/>
      <c r="B62" s="180"/>
      <c r="C62" s="180"/>
      <c r="D62" s="180"/>
      <c r="E62" s="180"/>
      <c r="F62" s="180"/>
      <c r="G62" s="396"/>
    </row>
    <row r="63" spans="1:7" ht="17.25" customHeight="1" thickBot="1">
      <c r="A63" s="182" t="s">
        <v>121</v>
      </c>
      <c r="B63" s="183"/>
      <c r="C63" s="184" t="s">
        <v>1186</v>
      </c>
      <c r="D63" s="397"/>
      <c r="E63" s="398"/>
      <c r="F63" s="187"/>
      <c r="G63" s="399"/>
    </row>
    <row r="64" spans="1:7" ht="12.75">
      <c r="A64" s="189"/>
      <c r="B64" s="400"/>
      <c r="C64" s="232"/>
      <c r="D64" s="233"/>
      <c r="E64" s="401"/>
      <c r="F64" s="402"/>
      <c r="G64" s="403"/>
    </row>
    <row r="65" spans="1:12" s="204" customFormat="1" ht="17.25" customHeight="1">
      <c r="A65" s="1038" t="s">
        <v>123</v>
      </c>
      <c r="B65" s="613" t="s">
        <v>2398</v>
      </c>
      <c r="C65" s="1005" t="s">
        <v>1155</v>
      </c>
      <c r="D65" s="1006" t="s">
        <v>175</v>
      </c>
      <c r="E65" s="614">
        <v>17</v>
      </c>
      <c r="F65" s="614"/>
      <c r="G65" s="1039">
        <f>$E65*F65</f>
        <v>0</v>
      </c>
      <c r="H65" s="615"/>
      <c r="I65" s="615"/>
      <c r="J65" s="615"/>
      <c r="K65" s="615"/>
      <c r="L65" s="615"/>
    </row>
    <row r="66" spans="1:12" s="204" customFormat="1" ht="12.75">
      <c r="A66" s="1038"/>
      <c r="B66" s="613"/>
      <c r="C66" s="1005"/>
      <c r="D66" s="1006"/>
      <c r="E66" s="614"/>
      <c r="F66" s="614"/>
      <c r="G66" s="1039"/>
      <c r="H66" s="615"/>
      <c r="I66" s="615"/>
      <c r="J66" s="615"/>
      <c r="K66" s="615"/>
      <c r="L66" s="615"/>
    </row>
    <row r="67" spans="1:12" s="204" customFormat="1" ht="12.75">
      <c r="A67" s="1038"/>
      <c r="B67" s="613"/>
      <c r="C67" s="1040" t="s">
        <v>1156</v>
      </c>
      <c r="D67" s="1006"/>
      <c r="E67" s="614"/>
      <c r="F67" s="614"/>
      <c r="G67" s="1039"/>
      <c r="H67" s="615"/>
      <c r="I67" s="615"/>
      <c r="J67" s="615"/>
      <c r="K67" s="615"/>
      <c r="L67" s="615"/>
    </row>
    <row r="68" spans="1:12" s="204" customFormat="1" ht="18" customHeight="1">
      <c r="A68" s="1038" t="s">
        <v>124</v>
      </c>
      <c r="B68" s="613" t="s">
        <v>256</v>
      </c>
      <c r="C68" s="1005" t="s">
        <v>2287</v>
      </c>
      <c r="D68" s="1006" t="s">
        <v>158</v>
      </c>
      <c r="E68" s="614">
        <v>1</v>
      </c>
      <c r="F68" s="614"/>
      <c r="G68" s="1039">
        <f aca="true" t="shared" si="2" ref="G68:G79">$E68*F68</f>
        <v>0</v>
      </c>
      <c r="H68" s="615"/>
      <c r="I68" s="615">
        <f>1.48*0.795*0.185</f>
        <v>0.217671</v>
      </c>
      <c r="J68" s="615">
        <v>2.8</v>
      </c>
      <c r="K68" s="615">
        <f aca="true" t="shared" si="3" ref="K68:K79">I68*J68</f>
        <v>0.6094788</v>
      </c>
      <c r="L68" s="615"/>
    </row>
    <row r="69" spans="1:12" s="204" customFormat="1" ht="18" customHeight="1">
      <c r="A69" s="1038" t="s">
        <v>125</v>
      </c>
      <c r="B69" s="613" t="s">
        <v>345</v>
      </c>
      <c r="C69" s="1005" t="s">
        <v>2288</v>
      </c>
      <c r="D69" s="1006" t="s">
        <v>158</v>
      </c>
      <c r="E69" s="614">
        <v>1</v>
      </c>
      <c r="F69" s="614"/>
      <c r="G69" s="1039">
        <f t="shared" si="2"/>
        <v>0</v>
      </c>
      <c r="H69" s="615"/>
      <c r="I69" s="615">
        <f>1.48*0.795*0.365</f>
        <v>0.42945900000000004</v>
      </c>
      <c r="J69" s="615">
        <v>2.8</v>
      </c>
      <c r="K69" s="615">
        <f t="shared" si="3"/>
        <v>1.2024852</v>
      </c>
      <c r="L69" s="615"/>
    </row>
    <row r="70" spans="1:12" s="204" customFormat="1" ht="18" customHeight="1">
      <c r="A70" s="1038" t="s">
        <v>126</v>
      </c>
      <c r="B70" s="613" t="s">
        <v>2399</v>
      </c>
      <c r="C70" s="1005" t="s">
        <v>2289</v>
      </c>
      <c r="D70" s="1006" t="s">
        <v>158</v>
      </c>
      <c r="E70" s="614">
        <v>1</v>
      </c>
      <c r="F70" s="614"/>
      <c r="G70" s="1039">
        <f t="shared" si="2"/>
        <v>0</v>
      </c>
      <c r="H70" s="615"/>
      <c r="I70" s="615">
        <f>1.98*1.48*0.15</f>
        <v>0.43956</v>
      </c>
      <c r="J70" s="615">
        <v>2.8</v>
      </c>
      <c r="K70" s="615">
        <f t="shared" si="3"/>
        <v>1.2307679999999999</v>
      </c>
      <c r="L70" s="615"/>
    </row>
    <row r="71" spans="1:12" s="204" customFormat="1" ht="18" customHeight="1">
      <c r="A71" s="1038" t="s">
        <v>127</v>
      </c>
      <c r="B71" s="613" t="s">
        <v>2400</v>
      </c>
      <c r="C71" s="1005" t="s">
        <v>2290</v>
      </c>
      <c r="D71" s="1006" t="s">
        <v>158</v>
      </c>
      <c r="E71" s="614">
        <v>1</v>
      </c>
      <c r="F71" s="614"/>
      <c r="G71" s="1039">
        <f t="shared" si="2"/>
        <v>0</v>
      </c>
      <c r="H71" s="615"/>
      <c r="I71" s="615">
        <f>1.98*1.69*0.21</f>
        <v>0.7027019999999999</v>
      </c>
      <c r="J71" s="615">
        <v>2.8</v>
      </c>
      <c r="K71" s="615">
        <f t="shared" si="3"/>
        <v>1.9675655999999997</v>
      </c>
      <c r="L71" s="615"/>
    </row>
    <row r="72" spans="1:12" s="204" customFormat="1" ht="18" customHeight="1">
      <c r="A72" s="1038" t="s">
        <v>128</v>
      </c>
      <c r="B72" s="613" t="s">
        <v>2401</v>
      </c>
      <c r="C72" s="1005" t="s">
        <v>1157</v>
      </c>
      <c r="D72" s="1006" t="s">
        <v>158</v>
      </c>
      <c r="E72" s="614">
        <v>1</v>
      </c>
      <c r="F72" s="614"/>
      <c r="G72" s="1039">
        <f t="shared" si="2"/>
        <v>0</v>
      </c>
      <c r="H72" s="615"/>
      <c r="I72" s="615">
        <f>3.63*1.075*0.2</f>
        <v>0.78045</v>
      </c>
      <c r="J72" s="615">
        <v>2.8</v>
      </c>
      <c r="K72" s="615">
        <f t="shared" si="3"/>
        <v>2.18526</v>
      </c>
      <c r="L72" s="615"/>
    </row>
    <row r="73" spans="1:12" s="204" customFormat="1" ht="18" customHeight="1">
      <c r="A73" s="1038" t="s">
        <v>129</v>
      </c>
      <c r="B73" s="613" t="s">
        <v>2278</v>
      </c>
      <c r="C73" s="1005" t="s">
        <v>1158</v>
      </c>
      <c r="D73" s="1006" t="s">
        <v>158</v>
      </c>
      <c r="E73" s="614">
        <v>1</v>
      </c>
      <c r="F73" s="614"/>
      <c r="G73" s="1039">
        <f t="shared" si="2"/>
        <v>0</v>
      </c>
      <c r="H73" s="615"/>
      <c r="I73" s="615">
        <f>0.363*2*0.84</f>
        <v>0.6098399999999999</v>
      </c>
      <c r="J73" s="615">
        <v>2.8</v>
      </c>
      <c r="K73" s="615">
        <f t="shared" si="3"/>
        <v>1.7075519999999997</v>
      </c>
      <c r="L73" s="615"/>
    </row>
    <row r="74" spans="1:12" s="204" customFormat="1" ht="18" customHeight="1">
      <c r="A74" s="1038" t="s">
        <v>130</v>
      </c>
      <c r="B74" s="613" t="s">
        <v>2280</v>
      </c>
      <c r="C74" s="1005" t="s">
        <v>1159</v>
      </c>
      <c r="D74" s="1006" t="s">
        <v>158</v>
      </c>
      <c r="E74" s="614">
        <v>1</v>
      </c>
      <c r="F74" s="614"/>
      <c r="G74" s="1039">
        <f t="shared" si="2"/>
        <v>0</v>
      </c>
      <c r="H74" s="615"/>
      <c r="I74" s="615">
        <f>0.363*2*0.605</f>
        <v>0.43922999999999995</v>
      </c>
      <c r="J74" s="615">
        <v>2.8</v>
      </c>
      <c r="K74" s="615">
        <f t="shared" si="3"/>
        <v>1.2298439999999997</v>
      </c>
      <c r="L74" s="615"/>
    </row>
    <row r="75" spans="1:12" s="204" customFormat="1" ht="18" customHeight="1">
      <c r="A75" s="1038" t="s">
        <v>131</v>
      </c>
      <c r="B75" s="613" t="s">
        <v>2283</v>
      </c>
      <c r="C75" s="1005" t="s">
        <v>2291</v>
      </c>
      <c r="D75" s="1006" t="s">
        <v>158</v>
      </c>
      <c r="E75" s="614">
        <v>6</v>
      </c>
      <c r="F75" s="614"/>
      <c r="G75" s="1039">
        <f t="shared" si="2"/>
        <v>0</v>
      </c>
      <c r="H75" s="615"/>
      <c r="I75" s="615">
        <f>1.815*1.48*0.1</f>
        <v>0.26862</v>
      </c>
      <c r="J75" s="615">
        <v>2.8</v>
      </c>
      <c r="K75" s="615">
        <f t="shared" si="3"/>
        <v>0.752136</v>
      </c>
      <c r="L75" s="615"/>
    </row>
    <row r="76" spans="1:12" s="204" customFormat="1" ht="18" customHeight="1">
      <c r="A76" s="1038" t="s">
        <v>133</v>
      </c>
      <c r="B76" s="613" t="s">
        <v>2391</v>
      </c>
      <c r="C76" s="1005" t="s">
        <v>2292</v>
      </c>
      <c r="D76" s="1006" t="s">
        <v>158</v>
      </c>
      <c r="E76" s="614">
        <v>1</v>
      </c>
      <c r="F76" s="614"/>
      <c r="G76" s="1039">
        <f t="shared" si="2"/>
        <v>0</v>
      </c>
      <c r="H76" s="615"/>
      <c r="I76" s="615">
        <f>1.63*1.69*0.1</f>
        <v>0.27547</v>
      </c>
      <c r="J76" s="615">
        <v>2.8</v>
      </c>
      <c r="K76" s="615">
        <f t="shared" si="3"/>
        <v>0.7713159999999999</v>
      </c>
      <c r="L76" s="615"/>
    </row>
    <row r="77" spans="1:12" s="204" customFormat="1" ht="18" customHeight="1">
      <c r="A77" s="1038" t="s">
        <v>136</v>
      </c>
      <c r="B77" s="613" t="s">
        <v>2402</v>
      </c>
      <c r="C77" s="1005" t="s">
        <v>2293</v>
      </c>
      <c r="D77" s="1006" t="s">
        <v>158</v>
      </c>
      <c r="E77" s="614">
        <v>1</v>
      </c>
      <c r="F77" s="614"/>
      <c r="G77" s="1039">
        <f t="shared" si="2"/>
        <v>0</v>
      </c>
      <c r="H77" s="615"/>
      <c r="I77" s="615">
        <f>1.69*1.2*0.15</f>
        <v>0.30419999999999997</v>
      </c>
      <c r="J77" s="615">
        <v>2.8</v>
      </c>
      <c r="K77" s="615">
        <f t="shared" si="3"/>
        <v>0.8517599999999999</v>
      </c>
      <c r="L77" s="615"/>
    </row>
    <row r="78" spans="1:12" s="204" customFormat="1" ht="18" customHeight="1">
      <c r="A78" s="1038" t="s">
        <v>137</v>
      </c>
      <c r="B78" s="613" t="s">
        <v>2403</v>
      </c>
      <c r="C78" s="1041" t="s">
        <v>2294</v>
      </c>
      <c r="D78" s="1006" t="s">
        <v>158</v>
      </c>
      <c r="E78" s="614">
        <v>1</v>
      </c>
      <c r="F78" s="614"/>
      <c r="G78" s="1039">
        <f t="shared" si="2"/>
        <v>0</v>
      </c>
      <c r="H78" s="615"/>
      <c r="I78" s="615">
        <f>1.2*1.2*0.17</f>
        <v>0.24480000000000002</v>
      </c>
      <c r="J78" s="615">
        <v>2.8</v>
      </c>
      <c r="K78" s="615">
        <f t="shared" si="3"/>
        <v>0.68544</v>
      </c>
      <c r="L78" s="615"/>
    </row>
    <row r="79" spans="1:12" s="204" customFormat="1" ht="18" customHeight="1">
      <c r="A79" s="1038" t="s">
        <v>138</v>
      </c>
      <c r="B79" s="613" t="s">
        <v>2404</v>
      </c>
      <c r="C79" s="1041" t="s">
        <v>2295</v>
      </c>
      <c r="D79" s="1006" t="s">
        <v>158</v>
      </c>
      <c r="E79" s="614">
        <v>1</v>
      </c>
      <c r="F79" s="614"/>
      <c r="G79" s="1039">
        <f t="shared" si="2"/>
        <v>0</v>
      </c>
      <c r="H79" s="615"/>
      <c r="I79" s="615">
        <f>1.9*2*0.2</f>
        <v>0.76</v>
      </c>
      <c r="J79" s="615">
        <v>2.8</v>
      </c>
      <c r="K79" s="615">
        <f t="shared" si="3"/>
        <v>2.1279999999999997</v>
      </c>
      <c r="L79" s="615"/>
    </row>
    <row r="80" spans="1:20" s="204" customFormat="1" ht="20.25" customHeight="1">
      <c r="A80" s="1038" t="s">
        <v>140</v>
      </c>
      <c r="B80" s="989" t="s">
        <v>169</v>
      </c>
      <c r="C80" s="988" t="s">
        <v>1114</v>
      </c>
      <c r="D80" s="305" t="s">
        <v>73</v>
      </c>
      <c r="E80" s="947">
        <f>K80</f>
        <v>15.3216056</v>
      </c>
      <c r="F80" s="947"/>
      <c r="G80" s="781">
        <f>E80*F80</f>
        <v>0</v>
      </c>
      <c r="H80" s="85"/>
      <c r="I80" s="85"/>
      <c r="J80" s="85"/>
      <c r="K80" s="217">
        <f>SUM(K64:K79)</f>
        <v>15.3216056</v>
      </c>
      <c r="L80" s="85"/>
      <c r="M80" s="85"/>
      <c r="N80" s="202"/>
      <c r="O80" s="203"/>
      <c r="P80" s="203"/>
      <c r="Q80" s="203"/>
      <c r="R80" s="203"/>
      <c r="S80" s="203"/>
      <c r="T80" s="203"/>
    </row>
    <row r="81" spans="1:12" s="475" customFormat="1" ht="14" thickBot="1">
      <c r="A81" s="1042"/>
      <c r="B81" s="1043"/>
      <c r="C81" s="254"/>
      <c r="D81" s="1044"/>
      <c r="E81" s="1045"/>
      <c r="F81" s="1045"/>
      <c r="G81" s="1046"/>
      <c r="H81" s="473"/>
      <c r="I81" s="474"/>
      <c r="J81" s="474"/>
      <c r="K81" s="474"/>
      <c r="L81" s="474"/>
    </row>
    <row r="82" spans="1:7" ht="13" thickBot="1">
      <c r="A82" s="225"/>
      <c r="B82" s="226"/>
      <c r="C82" s="227" t="s">
        <v>113</v>
      </c>
      <c r="D82" s="226"/>
      <c r="E82" s="416"/>
      <c r="F82" s="417"/>
      <c r="G82" s="230">
        <f>SUBTOTAL(9,G64:G81)</f>
        <v>0</v>
      </c>
    </row>
    <row r="83" spans="1:7" ht="13" thickBot="1">
      <c r="A83" s="179"/>
      <c r="B83" s="180"/>
      <c r="C83" s="180"/>
      <c r="D83" s="180"/>
      <c r="E83" s="180"/>
      <c r="F83" s="180"/>
      <c r="G83" s="396"/>
    </row>
    <row r="84" spans="1:7" ht="13" thickBot="1">
      <c r="A84" s="182" t="s">
        <v>291</v>
      </c>
      <c r="B84" s="183"/>
      <c r="C84" s="184" t="s">
        <v>346</v>
      </c>
      <c r="D84" s="397"/>
      <c r="E84" s="440"/>
      <c r="F84" s="441"/>
      <c r="G84" s="399"/>
    </row>
    <row r="85" spans="1:7" ht="12.75">
      <c r="A85" s="189"/>
      <c r="B85" s="400"/>
      <c r="C85" s="232"/>
      <c r="D85" s="233"/>
      <c r="E85" s="401"/>
      <c r="F85" s="402"/>
      <c r="G85" s="403"/>
    </row>
    <row r="86" spans="1:12" s="449" customFormat="1" ht="44.25" customHeight="1">
      <c r="A86" s="750" t="s">
        <v>291</v>
      </c>
      <c r="B86" s="442"/>
      <c r="C86" s="443" t="s">
        <v>247</v>
      </c>
      <c r="D86" s="444"/>
      <c r="E86" s="1047"/>
      <c r="F86" s="1048"/>
      <c r="G86" s="1049">
        <f>$E86*F86</f>
        <v>0</v>
      </c>
      <c r="H86" s="447"/>
      <c r="I86" s="447"/>
      <c r="J86" s="448"/>
      <c r="K86" s="448"/>
      <c r="L86" s="447"/>
    </row>
    <row r="87" spans="1:7" ht="13" thickBot="1">
      <c r="A87" s="1050"/>
      <c r="B87" s="1025"/>
      <c r="C87" s="1051"/>
      <c r="D87" s="1025"/>
      <c r="E87" s="450"/>
      <c r="F87" s="451"/>
      <c r="G87" s="452"/>
    </row>
    <row r="88" spans="1:7" ht="13" thickBot="1">
      <c r="A88" s="225"/>
      <c r="B88" s="226"/>
      <c r="C88" s="227" t="s">
        <v>113</v>
      </c>
      <c r="D88" s="226"/>
      <c r="E88" s="303"/>
      <c r="F88" s="304"/>
      <c r="G88" s="230">
        <f>SUBTOTAL(9,G85:G87)</f>
        <v>0</v>
      </c>
    </row>
    <row r="89" spans="1:7" ht="13" thickBot="1">
      <c r="A89" s="179"/>
      <c r="B89" s="180"/>
      <c r="C89" s="180"/>
      <c r="D89" s="180"/>
      <c r="E89" s="180"/>
      <c r="F89" s="180"/>
      <c r="G89" s="396"/>
    </row>
    <row r="90" spans="1:20" s="480" customFormat="1" ht="27.75" customHeight="1" thickBot="1">
      <c r="A90" s="453"/>
      <c r="B90" s="316"/>
      <c r="C90" s="317" t="s">
        <v>38</v>
      </c>
      <c r="D90" s="454"/>
      <c r="E90" s="454"/>
      <c r="F90" s="454"/>
      <c r="G90" s="319">
        <f>SUBTOTAL(9,G27:G88)</f>
        <v>0</v>
      </c>
      <c r="M90" s="80"/>
      <c r="N90" s="80"/>
      <c r="O90" s="80"/>
      <c r="P90" s="80"/>
      <c r="Q90" s="80"/>
      <c r="R90" s="80"/>
      <c r="S90" s="80"/>
      <c r="T90" s="80"/>
    </row>
    <row r="92" spans="1:6" s="480" customFormat="1" ht="12.75">
      <c r="A92" s="72"/>
      <c r="B92" s="491"/>
      <c r="C92" s="491"/>
      <c r="D92" s="75"/>
      <c r="E92" s="76"/>
      <c r="F92" s="76"/>
    </row>
    <row r="93" spans="1:6" s="480" customFormat="1" ht="12.75">
      <c r="A93" s="72"/>
      <c r="B93" s="491"/>
      <c r="C93" s="491"/>
      <c r="D93" s="75"/>
      <c r="E93" s="76"/>
      <c r="F93" s="76"/>
    </row>
    <row r="94" spans="1:6" s="480" customFormat="1" ht="12.75">
      <c r="A94" s="72"/>
      <c r="B94" s="491"/>
      <c r="C94" s="491"/>
      <c r="D94" s="75"/>
      <c r="E94" s="76"/>
      <c r="F94" s="76"/>
    </row>
    <row r="95" spans="1:6" s="480" customFormat="1" ht="12.75">
      <c r="A95" s="72"/>
      <c r="B95" s="491"/>
      <c r="C95" s="491"/>
      <c r="D95" s="75"/>
      <c r="E95" s="76"/>
      <c r="F95" s="76"/>
    </row>
    <row r="96" spans="1:6" s="480" customFormat="1" ht="12.75">
      <c r="A96" s="72"/>
      <c r="B96" s="491"/>
      <c r="C96" s="491"/>
      <c r="D96" s="75"/>
      <c r="E96" s="76"/>
      <c r="F96" s="76"/>
    </row>
    <row r="97" spans="1:6" s="480" customFormat="1" ht="12.75">
      <c r="A97" s="72"/>
      <c r="B97" s="491"/>
      <c r="C97" s="491"/>
      <c r="D97" s="75"/>
      <c r="E97" s="76"/>
      <c r="F97"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G57"/>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2" t="s">
        <v>1025</v>
      </c>
      <c r="G3" s="1423"/>
    </row>
    <row r="4" spans="1:7" ht="60.75" customHeight="1" thickBot="1">
      <c r="A4" s="519"/>
      <c r="B4" s="92" t="s">
        <v>19</v>
      </c>
      <c r="C4" s="11" t="s">
        <v>1020</v>
      </c>
      <c r="D4" s="94"/>
      <c r="E4" s="94"/>
      <c r="F4" s="1418"/>
      <c r="G4" s="1424"/>
    </row>
    <row r="5" spans="1:7" ht="15" customHeight="1" thickBo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thickBo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A27</f>
        <v>1</v>
      </c>
      <c r="B21" s="161"/>
      <c r="C21" s="162" t="str">
        <f>C27</f>
        <v>Hydranty</v>
      </c>
      <c r="D21" s="164"/>
      <c r="E21" s="164"/>
      <c r="F21" s="165"/>
      <c r="G21" s="540">
        <f>G31</f>
        <v>0</v>
      </c>
    </row>
    <row r="22" spans="1:7" s="125" customFormat="1" ht="17.75" customHeight="1">
      <c r="A22" s="539" t="str">
        <f>A33</f>
        <v>2</v>
      </c>
      <c r="B22" s="161"/>
      <c r="C22" s="162" t="str">
        <f>C33</f>
        <v>Vybavení řešeného prostoru</v>
      </c>
      <c r="D22" s="164"/>
      <c r="E22" s="164"/>
      <c r="F22" s="165"/>
      <c r="G22" s="540">
        <f>G42</f>
        <v>0</v>
      </c>
    </row>
    <row r="23" spans="1:7" ht="18" customHeight="1">
      <c r="A23" s="539" t="str">
        <f>A44</f>
        <v>A</v>
      </c>
      <c r="B23" s="161"/>
      <c r="C23" s="162" t="str">
        <f>C44</f>
        <v xml:space="preserve">Ostatní </v>
      </c>
      <c r="D23" s="164"/>
      <c r="E23" s="164"/>
      <c r="F23" s="165"/>
      <c r="G23" s="540">
        <f>G48</f>
        <v>0</v>
      </c>
    </row>
    <row r="24" spans="1:7" ht="13" thickBot="1">
      <c r="A24" s="539"/>
      <c r="B24" s="153"/>
      <c r="C24" s="167"/>
      <c r="D24" s="153"/>
      <c r="E24" s="168"/>
      <c r="F24" s="156"/>
      <c r="G24" s="540"/>
    </row>
    <row r="25" spans="1:7" ht="28.5" customHeight="1" thickBot="1">
      <c r="A25" s="541"/>
      <c r="B25" s="171"/>
      <c r="C25" s="172" t="s">
        <v>38</v>
      </c>
      <c r="D25" s="175"/>
      <c r="E25" s="174"/>
      <c r="F25" s="175"/>
      <c r="G25" s="542">
        <f>SUM(G21:G23)</f>
        <v>0</v>
      </c>
    </row>
    <row r="26" spans="1:7" ht="13" thickBot="1">
      <c r="A26" s="543"/>
      <c r="B26" s="180"/>
      <c r="C26" s="180"/>
      <c r="D26" s="180"/>
      <c r="E26" s="180"/>
      <c r="F26" s="180"/>
      <c r="G26" s="544"/>
    </row>
    <row r="27" spans="1:7" s="125" customFormat="1" ht="18" customHeight="1" thickBot="1">
      <c r="A27" s="545" t="s">
        <v>43</v>
      </c>
      <c r="B27" s="183"/>
      <c r="C27" s="184" t="s">
        <v>1024</v>
      </c>
      <c r="D27" s="397"/>
      <c r="E27" s="398"/>
      <c r="F27" s="187"/>
      <c r="G27" s="546"/>
    </row>
    <row r="28" spans="1:7" s="125" customFormat="1" ht="12.75" customHeight="1">
      <c r="A28" s="547"/>
      <c r="B28" s="400"/>
      <c r="C28" s="232"/>
      <c r="D28" s="233"/>
      <c r="E28" s="401"/>
      <c r="F28" s="402"/>
      <c r="G28" s="548"/>
    </row>
    <row r="29" spans="1:7" s="505" customFormat="1" ht="30" customHeight="1">
      <c r="A29" s="549" t="s">
        <v>45</v>
      </c>
      <c r="B29" s="512"/>
      <c r="C29" s="502" t="s">
        <v>2173</v>
      </c>
      <c r="D29" s="503" t="s">
        <v>161</v>
      </c>
      <c r="E29" s="954">
        <v>1</v>
      </c>
      <c r="F29" s="954"/>
      <c r="G29" s="550">
        <f>$E29*F29</f>
        <v>0</v>
      </c>
    </row>
    <row r="30" spans="1:7" ht="14" thickBot="1">
      <c r="A30" s="551"/>
      <c r="B30" s="412"/>
      <c r="C30" s="220"/>
      <c r="D30" s="221"/>
      <c r="E30" s="413"/>
      <c r="F30" s="414"/>
      <c r="G30" s="552"/>
    </row>
    <row r="31" spans="1:7" ht="19.5" customHeight="1" thickBot="1">
      <c r="A31" s="553"/>
      <c r="B31" s="226"/>
      <c r="C31" s="227" t="s">
        <v>113</v>
      </c>
      <c r="D31" s="226"/>
      <c r="E31" s="416"/>
      <c r="F31" s="417"/>
      <c r="G31" s="554">
        <f>SUBTOTAL(9,G28:G30)</f>
        <v>0</v>
      </c>
    </row>
    <row r="32" spans="1:7" ht="13" thickBot="1">
      <c r="A32" s="543"/>
      <c r="B32" s="180"/>
      <c r="C32" s="180"/>
      <c r="D32" s="180"/>
      <c r="E32" s="180"/>
      <c r="F32" s="180"/>
      <c r="G32" s="544"/>
    </row>
    <row r="33" spans="1:7" ht="17.25" customHeight="1" thickBot="1">
      <c r="A33" s="545" t="s">
        <v>100</v>
      </c>
      <c r="B33" s="183"/>
      <c r="C33" s="184" t="s">
        <v>1023</v>
      </c>
      <c r="D33" s="397"/>
      <c r="E33" s="398"/>
      <c r="F33" s="187"/>
      <c r="G33" s="546"/>
    </row>
    <row r="34" spans="1:7" ht="12.75">
      <c r="A34" s="547"/>
      <c r="B34" s="400"/>
      <c r="C34" s="232"/>
      <c r="D34" s="233"/>
      <c r="E34" s="401"/>
      <c r="F34" s="402"/>
      <c r="G34" s="548"/>
    </row>
    <row r="35" spans="1:7" s="505" customFormat="1" ht="22">
      <c r="A35" s="549" t="s">
        <v>115</v>
      </c>
      <c r="B35" s="501"/>
      <c r="C35" s="502" t="s">
        <v>1021</v>
      </c>
      <c r="D35" s="503" t="s">
        <v>158</v>
      </c>
      <c r="E35" s="504">
        <f>SUM(D36:D37)</f>
        <v>7</v>
      </c>
      <c r="F35" s="504"/>
      <c r="G35" s="550">
        <f>$E35*F35</f>
        <v>0</v>
      </c>
    </row>
    <row r="36" spans="1:7" s="505" customFormat="1" ht="12.75">
      <c r="A36" s="549"/>
      <c r="B36" s="513" t="s">
        <v>1028</v>
      </c>
      <c r="C36" s="631" t="s">
        <v>1029</v>
      </c>
      <c r="D36" s="632">
        <v>2</v>
      </c>
      <c r="E36" s="504"/>
      <c r="F36" s="504"/>
      <c r="G36" s="550"/>
    </row>
    <row r="37" spans="1:7" s="505" customFormat="1" ht="12.75">
      <c r="A37" s="549"/>
      <c r="B37" s="513" t="s">
        <v>1030</v>
      </c>
      <c r="C37" s="631" t="s">
        <v>1031</v>
      </c>
      <c r="D37" s="632">
        <v>5</v>
      </c>
      <c r="E37" s="504"/>
      <c r="F37" s="504"/>
      <c r="G37" s="550"/>
    </row>
    <row r="38" spans="1:7" s="505" customFormat="1" ht="22">
      <c r="A38" s="549" t="s">
        <v>117</v>
      </c>
      <c r="B38" s="501"/>
      <c r="C38" s="502" t="s">
        <v>1032</v>
      </c>
      <c r="D38" s="503" t="s">
        <v>161</v>
      </c>
      <c r="E38" s="504">
        <v>1</v>
      </c>
      <c r="F38" s="504"/>
      <c r="G38" s="550">
        <f>$E38*F38</f>
        <v>0</v>
      </c>
    </row>
    <row r="39" spans="1:7" s="505" customFormat="1" ht="12.75">
      <c r="A39" s="549"/>
      <c r="B39" s="501"/>
      <c r="C39" s="502"/>
      <c r="D39" s="503"/>
      <c r="E39" s="504"/>
      <c r="F39" s="504"/>
      <c r="G39" s="550"/>
    </row>
    <row r="40" spans="1:7" s="505" customFormat="1" ht="12.75">
      <c r="A40" s="549" t="s">
        <v>119</v>
      </c>
      <c r="B40" s="501"/>
      <c r="C40" s="502" t="s">
        <v>1022</v>
      </c>
      <c r="D40" s="503" t="s">
        <v>161</v>
      </c>
      <c r="E40" s="504">
        <v>1</v>
      </c>
      <c r="F40" s="504"/>
      <c r="G40" s="550">
        <f>$E40*F40</f>
        <v>0</v>
      </c>
    </row>
    <row r="41" spans="1:7" ht="14" thickBot="1">
      <c r="A41" s="551"/>
      <c r="B41" s="412"/>
      <c r="C41" s="220"/>
      <c r="D41" s="221"/>
      <c r="E41" s="413"/>
      <c r="F41" s="414"/>
      <c r="G41" s="552"/>
    </row>
    <row r="42" spans="1:7" ht="13" thickBot="1">
      <c r="A42" s="553"/>
      <c r="B42" s="226"/>
      <c r="C42" s="227" t="s">
        <v>113</v>
      </c>
      <c r="D42" s="226"/>
      <c r="E42" s="416"/>
      <c r="F42" s="417"/>
      <c r="G42" s="554">
        <f>SUBTOTAL(9,G34:G41)</f>
        <v>0</v>
      </c>
    </row>
    <row r="43" spans="1:7" ht="13" thickBot="1">
      <c r="A43" s="543"/>
      <c r="B43" s="180"/>
      <c r="C43" s="180"/>
      <c r="D43" s="180"/>
      <c r="E43" s="180"/>
      <c r="F43" s="180"/>
      <c r="G43" s="544"/>
    </row>
    <row r="44" spans="1:7" ht="13" thickBot="1">
      <c r="A44" s="545" t="s">
        <v>291</v>
      </c>
      <c r="B44" s="183"/>
      <c r="C44" s="184" t="s">
        <v>338</v>
      </c>
      <c r="D44" s="397"/>
      <c r="E44" s="440"/>
      <c r="F44" s="441"/>
      <c r="G44" s="546"/>
    </row>
    <row r="45" spans="1:7" ht="12.75">
      <c r="A45" s="547"/>
      <c r="B45" s="400"/>
      <c r="C45" s="232"/>
      <c r="D45" s="233"/>
      <c r="E45" s="401"/>
      <c r="F45" s="402"/>
      <c r="G45" s="548"/>
    </row>
    <row r="46" spans="1:7" ht="50.25" customHeight="1">
      <c r="A46" s="561" t="s">
        <v>389</v>
      </c>
      <c r="B46" s="489"/>
      <c r="C46" s="492" t="s">
        <v>247</v>
      </c>
      <c r="D46" s="489"/>
      <c r="E46" s="493"/>
      <c r="F46" s="239"/>
      <c r="G46" s="562">
        <f>$E46*F46</f>
        <v>0</v>
      </c>
    </row>
    <row r="47" spans="1:7" ht="13" thickBot="1">
      <c r="A47" s="559"/>
      <c r="B47" s="153"/>
      <c r="C47" s="299"/>
      <c r="D47" s="153"/>
      <c r="E47" s="450"/>
      <c r="F47" s="451"/>
      <c r="G47" s="560"/>
    </row>
    <row r="48" spans="1:7" ht="13" thickBot="1">
      <c r="A48" s="553"/>
      <c r="B48" s="226"/>
      <c r="C48" s="227" t="s">
        <v>113</v>
      </c>
      <c r="D48" s="226"/>
      <c r="E48" s="303"/>
      <c r="F48" s="304"/>
      <c r="G48" s="554">
        <f>SUBTOTAL(9,G45:G47)</f>
        <v>0</v>
      </c>
    </row>
    <row r="49" spans="1:7" ht="13" thickBot="1">
      <c r="A49" s="543"/>
      <c r="B49" s="180"/>
      <c r="C49" s="180"/>
      <c r="D49" s="180"/>
      <c r="E49" s="180"/>
      <c r="F49" s="180"/>
      <c r="G49" s="544"/>
    </row>
    <row r="50" spans="1:7" ht="27.75" customHeight="1" thickBot="1">
      <c r="A50" s="563"/>
      <c r="B50" s="564"/>
      <c r="C50" s="565" t="s">
        <v>38</v>
      </c>
      <c r="D50" s="566"/>
      <c r="E50" s="566"/>
      <c r="F50" s="566"/>
      <c r="G50" s="567">
        <f>SUBTOTAL(9,G26:G48)</f>
        <v>0</v>
      </c>
    </row>
    <row r="52" spans="1:6" s="480" customFormat="1" ht="12.75">
      <c r="A52" s="72"/>
      <c r="B52" s="491"/>
      <c r="C52" s="491"/>
      <c r="D52" s="75"/>
      <c r="E52" s="76"/>
      <c r="F52" s="76"/>
    </row>
    <row r="53" spans="1:6" s="480" customFormat="1" ht="12.75">
      <c r="A53" s="72"/>
      <c r="B53" s="491"/>
      <c r="C53" s="491"/>
      <c r="D53" s="75"/>
      <c r="E53" s="76"/>
      <c r="F53" s="76"/>
    </row>
    <row r="54" spans="1:6" s="480" customFormat="1" ht="12.75">
      <c r="A54" s="72"/>
      <c r="B54" s="491"/>
      <c r="C54" s="491"/>
      <c r="D54" s="75"/>
      <c r="E54" s="76"/>
      <c r="F54" s="76"/>
    </row>
    <row r="55" spans="1:6" s="480" customFormat="1" ht="12.75">
      <c r="A55" s="72"/>
      <c r="B55" s="491"/>
      <c r="C55" s="491"/>
      <c r="D55" s="75"/>
      <c r="E55" s="76"/>
      <c r="F55" s="76"/>
    </row>
    <row r="56" spans="1:6" s="480" customFormat="1" ht="12.75">
      <c r="A56" s="72"/>
      <c r="B56" s="491"/>
      <c r="C56" s="491"/>
      <c r="D56" s="75"/>
      <c r="E56" s="76"/>
      <c r="F56" s="76"/>
    </row>
    <row r="57" spans="1:6" s="480" customFormat="1" ht="12.75">
      <c r="A57" s="72"/>
      <c r="B57" s="491"/>
      <c r="C57" s="491"/>
      <c r="D57" s="75"/>
      <c r="E57" s="76"/>
      <c r="F57"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63"/>
  <sheetViews>
    <sheetView showGridLines="0" tabSelected="1" view="pageBreakPreview" zoomScaleSheetLayoutView="100" zoomScalePageLayoutView="130" workbookViewId="0" topLeftCell="A3">
      <selection activeCell="B39" sqref="B39"/>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5" t="s">
        <v>992</v>
      </c>
      <c r="G3" s="1426"/>
    </row>
    <row r="4" spans="1:7" ht="60.75" customHeight="1" thickBot="1">
      <c r="A4" s="519"/>
      <c r="B4" s="92" t="s">
        <v>19</v>
      </c>
      <c r="C4" s="11" t="s">
        <v>390</v>
      </c>
      <c r="D4" s="94"/>
      <c r="E4" s="94"/>
      <c r="F4" s="1418"/>
      <c r="G4" s="1424"/>
    </row>
    <row r="5" spans="1:7" ht="15" customHeigh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A29</f>
        <v>1</v>
      </c>
      <c r="B21" s="161"/>
      <c r="C21" s="162" t="str">
        <f>C29</f>
        <v>Kanalizace</v>
      </c>
      <c r="D21" s="164"/>
      <c r="E21" s="164"/>
      <c r="F21" s="165"/>
      <c r="G21" s="540">
        <f>G54</f>
        <v>0</v>
      </c>
    </row>
    <row r="22" spans="1:7" s="125" customFormat="1" ht="17.75" customHeight="1">
      <c r="A22" s="539" t="str">
        <f>A56</f>
        <v>2</v>
      </c>
      <c r="B22" s="161"/>
      <c r="C22" s="162" t="str">
        <f>C56</f>
        <v>Vodovod</v>
      </c>
      <c r="D22" s="164"/>
      <c r="E22" s="164"/>
      <c r="F22" s="165"/>
      <c r="G22" s="540">
        <f>G93</f>
        <v>0</v>
      </c>
    </row>
    <row r="23" spans="1:7" s="125" customFormat="1" ht="17.75" customHeight="1">
      <c r="A23" s="539" t="str">
        <f>A95</f>
        <v>3</v>
      </c>
      <c r="B23" s="161"/>
      <c r="C23" s="162" t="str">
        <f>C95</f>
        <v>Zařizovací přeměty</v>
      </c>
      <c r="D23" s="164"/>
      <c r="E23" s="164"/>
      <c r="F23" s="165"/>
      <c r="G23" s="540">
        <f>G138</f>
        <v>0</v>
      </c>
    </row>
    <row r="24" spans="1:7" s="125" customFormat="1" ht="17.75" customHeight="1">
      <c r="A24" s="539" t="str">
        <f>A140</f>
        <v>4</v>
      </c>
      <c r="B24" s="161"/>
      <c r="C24" s="162" t="str">
        <f>C140</f>
        <v>Ostatní práce a dodávky</v>
      </c>
      <c r="D24" s="164"/>
      <c r="E24" s="164"/>
      <c r="F24" s="165"/>
      <c r="G24" s="540">
        <f>G148</f>
        <v>0</v>
      </c>
    </row>
    <row r="25" spans="1:7" ht="18" customHeight="1">
      <c r="A25" s="539" t="str">
        <f>A150</f>
        <v>A</v>
      </c>
      <c r="B25" s="161"/>
      <c r="C25" s="162" t="str">
        <f>C150</f>
        <v xml:space="preserve">Ostatní </v>
      </c>
      <c r="D25" s="164"/>
      <c r="E25" s="164"/>
      <c r="F25" s="165"/>
      <c r="G25" s="540">
        <f>G154</f>
        <v>0</v>
      </c>
    </row>
    <row r="26" spans="1:7" ht="12.75">
      <c r="A26" s="539"/>
      <c r="B26" s="153"/>
      <c r="C26" s="167"/>
      <c r="D26" s="153"/>
      <c r="E26" s="168"/>
      <c r="F26" s="156"/>
      <c r="G26" s="540"/>
    </row>
    <row r="27" spans="1:7" ht="28.5" customHeight="1">
      <c r="A27" s="541"/>
      <c r="B27" s="171"/>
      <c r="C27" s="172" t="s">
        <v>38</v>
      </c>
      <c r="D27" s="175"/>
      <c r="E27" s="174"/>
      <c r="F27" s="175"/>
      <c r="G27" s="542">
        <f>SUM(G21:G25)</f>
        <v>0</v>
      </c>
    </row>
    <row r="28" spans="1:7" ht="12.75">
      <c r="A28" s="543"/>
      <c r="B28" s="180"/>
      <c r="C28" s="180"/>
      <c r="D28" s="180"/>
      <c r="E28" s="180"/>
      <c r="F28" s="180"/>
      <c r="G28" s="544"/>
    </row>
    <row r="29" spans="1:7" s="125" customFormat="1" ht="18" customHeight="1">
      <c r="A29" s="545" t="s">
        <v>43</v>
      </c>
      <c r="B29" s="183"/>
      <c r="C29" s="184" t="s">
        <v>391</v>
      </c>
      <c r="D29" s="397"/>
      <c r="E29" s="398"/>
      <c r="F29" s="187"/>
      <c r="G29" s="546"/>
    </row>
    <row r="30" spans="1:7" s="125" customFormat="1" ht="12.75" customHeight="1">
      <c r="A30" s="547"/>
      <c r="B30" s="400"/>
      <c r="C30" s="232"/>
      <c r="D30" s="233"/>
      <c r="E30" s="401"/>
      <c r="F30" s="402"/>
      <c r="G30" s="548"/>
    </row>
    <row r="31" spans="1:7" s="499" customFormat="1" ht="13">
      <c r="A31" s="549"/>
      <c r="B31" s="494"/>
      <c r="C31" s="495" t="s">
        <v>392</v>
      </c>
      <c r="D31" s="496"/>
      <c r="E31" s="497"/>
      <c r="F31" s="498"/>
      <c r="G31" s="550"/>
    </row>
    <row r="32" spans="1:7" s="499" customFormat="1" ht="22">
      <c r="A32" s="549"/>
      <c r="B32" s="494"/>
      <c r="C32" s="656" t="s">
        <v>393</v>
      </c>
      <c r="D32" s="496"/>
      <c r="E32" s="497"/>
      <c r="F32" s="498"/>
      <c r="G32" s="550"/>
    </row>
    <row r="33" spans="1:7" s="499" customFormat="1" ht="13">
      <c r="A33" s="549" t="s">
        <v>45</v>
      </c>
      <c r="B33" s="494"/>
      <c r="C33" s="500" t="s">
        <v>916</v>
      </c>
      <c r="D33" s="496" t="s">
        <v>116</v>
      </c>
      <c r="E33" s="497">
        <v>8</v>
      </c>
      <c r="F33" s="498"/>
      <c r="G33" s="550">
        <f>$E33*F33</f>
        <v>0</v>
      </c>
    </row>
    <row r="34" spans="1:7" s="499" customFormat="1" ht="13">
      <c r="A34" s="549"/>
      <c r="B34" s="494"/>
      <c r="C34" s="500" t="s">
        <v>917</v>
      </c>
      <c r="D34" s="496" t="s">
        <v>116</v>
      </c>
      <c r="E34" s="497">
        <v>26</v>
      </c>
      <c r="F34" s="498"/>
      <c r="G34" s="550">
        <f>$E34*F34</f>
        <v>0</v>
      </c>
    </row>
    <row r="35" spans="1:7" s="499" customFormat="1" ht="13">
      <c r="A35" s="549"/>
      <c r="B35" s="494"/>
      <c r="C35" s="500" t="s">
        <v>918</v>
      </c>
      <c r="D35" s="496" t="s">
        <v>116</v>
      </c>
      <c r="E35" s="497">
        <v>23</v>
      </c>
      <c r="F35" s="498"/>
      <c r="G35" s="550">
        <f>$E35*F35</f>
        <v>0</v>
      </c>
    </row>
    <row r="36" spans="1:7" s="499" customFormat="1" ht="13">
      <c r="A36" s="549"/>
      <c r="B36" s="494"/>
      <c r="C36" s="500" t="s">
        <v>919</v>
      </c>
      <c r="D36" s="496" t="s">
        <v>116</v>
      </c>
      <c r="E36" s="497">
        <v>61</v>
      </c>
      <c r="F36" s="498"/>
      <c r="G36" s="550">
        <f>$E36*F36</f>
        <v>0</v>
      </c>
    </row>
    <row r="37" spans="1:7" s="499" customFormat="1" ht="13">
      <c r="A37" s="549"/>
      <c r="B37" s="494"/>
      <c r="C37" s="500" t="s">
        <v>920</v>
      </c>
      <c r="D37" s="496" t="s">
        <v>116</v>
      </c>
      <c r="E37" s="497">
        <v>15</v>
      </c>
      <c r="F37" s="498"/>
      <c r="G37" s="550">
        <f>$E37*F37</f>
        <v>0</v>
      </c>
    </row>
    <row r="38" spans="1:7" s="499" customFormat="1" ht="13">
      <c r="A38" s="549"/>
      <c r="B38" s="494"/>
      <c r="C38" s="500"/>
      <c r="D38" s="496"/>
      <c r="E38" s="497"/>
      <c r="F38" s="498"/>
      <c r="G38" s="550"/>
    </row>
    <row r="39" spans="1:7" s="499" customFormat="1" ht="13">
      <c r="A39" s="549"/>
      <c r="B39" s="494"/>
      <c r="C39" s="657" t="s">
        <v>921</v>
      </c>
      <c r="D39" s="496"/>
      <c r="E39" s="497"/>
      <c r="F39" s="498"/>
      <c r="G39" s="550"/>
    </row>
    <row r="40" spans="1:7" s="499" customFormat="1" ht="13">
      <c r="A40" s="1440"/>
      <c r="B40" s="1441"/>
      <c r="C40" s="1442" t="s">
        <v>922</v>
      </c>
      <c r="D40" s="1443" t="s">
        <v>158</v>
      </c>
      <c r="E40" s="1444">
        <v>6</v>
      </c>
      <c r="F40" s="1445"/>
      <c r="G40" s="1446">
        <f aca="true" t="shared" si="0" ref="G40:G50">$E40*F40</f>
        <v>0</v>
      </c>
    </row>
    <row r="41" spans="1:7" s="499" customFormat="1" ht="13">
      <c r="A41" s="1440"/>
      <c r="B41" s="1447"/>
      <c r="C41" s="1442" t="s">
        <v>923</v>
      </c>
      <c r="D41" s="1443" t="s">
        <v>158</v>
      </c>
      <c r="E41" s="1444">
        <v>7</v>
      </c>
      <c r="F41" s="1445"/>
      <c r="G41" s="1446">
        <f t="shared" si="0"/>
        <v>0</v>
      </c>
    </row>
    <row r="42" spans="1:7" s="499" customFormat="1" ht="13">
      <c r="A42" s="1440"/>
      <c r="B42" s="1447"/>
      <c r="C42" s="1442" t="s">
        <v>924</v>
      </c>
      <c r="D42" s="1443" t="s">
        <v>158</v>
      </c>
      <c r="E42" s="1444">
        <v>4</v>
      </c>
      <c r="F42" s="1445"/>
      <c r="G42" s="1446">
        <f t="shared" si="0"/>
        <v>0</v>
      </c>
    </row>
    <row r="43" spans="1:7" s="499" customFormat="1" ht="13">
      <c r="A43" s="1440"/>
      <c r="B43" s="1447"/>
      <c r="C43" s="1442" t="s">
        <v>925</v>
      </c>
      <c r="D43" s="1443" t="s">
        <v>158</v>
      </c>
      <c r="E43" s="1444">
        <v>1</v>
      </c>
      <c r="F43" s="1445"/>
      <c r="G43" s="1446">
        <f t="shared" si="0"/>
        <v>0</v>
      </c>
    </row>
    <row r="44" spans="1:7" s="499" customFormat="1" ht="13">
      <c r="A44" s="1440"/>
      <c r="B44" s="1447"/>
      <c r="C44" s="1442" t="s">
        <v>926</v>
      </c>
      <c r="D44" s="1443" t="s">
        <v>158</v>
      </c>
      <c r="E44" s="1444">
        <v>5</v>
      </c>
      <c r="F44" s="1445"/>
      <c r="G44" s="1446">
        <f t="shared" si="0"/>
        <v>0</v>
      </c>
    </row>
    <row r="45" spans="1:7" s="499" customFormat="1" ht="13">
      <c r="A45" s="1440"/>
      <c r="B45" s="1447"/>
      <c r="C45" s="1442" t="s">
        <v>927</v>
      </c>
      <c r="D45" s="1443" t="s">
        <v>158</v>
      </c>
      <c r="E45" s="1444">
        <v>7</v>
      </c>
      <c r="F45" s="1445"/>
      <c r="G45" s="1446">
        <f t="shared" si="0"/>
        <v>0</v>
      </c>
    </row>
    <row r="46" spans="1:7" s="499" customFormat="1" ht="13">
      <c r="A46" s="1440"/>
      <c r="B46" s="1447"/>
      <c r="C46" s="1442" t="s">
        <v>928</v>
      </c>
      <c r="D46" s="1443" t="s">
        <v>158</v>
      </c>
      <c r="E46" s="1444">
        <v>1</v>
      </c>
      <c r="F46" s="1445"/>
      <c r="G46" s="1446">
        <f t="shared" si="0"/>
        <v>0</v>
      </c>
    </row>
    <row r="47" spans="1:7" s="499" customFormat="1" ht="13">
      <c r="A47" s="1440"/>
      <c r="B47" s="1447"/>
      <c r="C47" s="1442" t="s">
        <v>929</v>
      </c>
      <c r="D47" s="1443" t="s">
        <v>161</v>
      </c>
      <c r="E47" s="1444">
        <v>10</v>
      </c>
      <c r="F47" s="1445"/>
      <c r="G47" s="1446">
        <f t="shared" si="0"/>
        <v>0</v>
      </c>
    </row>
    <row r="48" spans="1:7" s="499" customFormat="1" ht="13">
      <c r="A48" s="1440"/>
      <c r="B48" s="1447"/>
      <c r="C48" s="1442" t="s">
        <v>930</v>
      </c>
      <c r="D48" s="1443" t="s">
        <v>161</v>
      </c>
      <c r="E48" s="1444">
        <v>3</v>
      </c>
      <c r="F48" s="1445"/>
      <c r="G48" s="1446">
        <f t="shared" si="0"/>
        <v>0</v>
      </c>
    </row>
    <row r="49" spans="1:7" s="499" customFormat="1" ht="13">
      <c r="A49" s="1440"/>
      <c r="B49" s="1447"/>
      <c r="C49" s="1442" t="s">
        <v>931</v>
      </c>
      <c r="D49" s="1443" t="s">
        <v>161</v>
      </c>
      <c r="E49" s="1444">
        <v>1</v>
      </c>
      <c r="F49" s="1445"/>
      <c r="G49" s="1446">
        <f t="shared" si="0"/>
        <v>0</v>
      </c>
    </row>
    <row r="50" spans="1:7" s="499" customFormat="1" ht="13">
      <c r="A50" s="1440"/>
      <c r="B50" s="1447"/>
      <c r="C50" s="1442" t="s">
        <v>932</v>
      </c>
      <c r="D50" s="1443" t="s">
        <v>161</v>
      </c>
      <c r="E50" s="1444">
        <v>2</v>
      </c>
      <c r="F50" s="1445"/>
      <c r="G50" s="1446">
        <f t="shared" si="0"/>
        <v>0</v>
      </c>
    </row>
    <row r="51" spans="1:7" s="499" customFormat="1" ht="13">
      <c r="A51" s="549"/>
      <c r="B51" s="494"/>
      <c r="C51" s="495"/>
      <c r="D51" s="496"/>
      <c r="E51" s="497"/>
      <c r="F51" s="498"/>
      <c r="G51" s="550"/>
    </row>
    <row r="52" spans="1:7" s="499" customFormat="1" ht="18" customHeight="1">
      <c r="A52" s="549" t="s">
        <v>53</v>
      </c>
      <c r="B52" s="658"/>
      <c r="C52" s="659" t="s">
        <v>394</v>
      </c>
      <c r="D52" s="496" t="s">
        <v>395</v>
      </c>
      <c r="E52" s="660">
        <v>1</v>
      </c>
      <c r="F52" s="661"/>
      <c r="G52" s="550">
        <f>$E52*F52</f>
        <v>0</v>
      </c>
    </row>
    <row r="53" spans="1:7" ht="14" thickBot="1">
      <c r="A53" s="551"/>
      <c r="B53" s="412"/>
      <c r="C53" s="220"/>
      <c r="D53" s="221"/>
      <c r="E53" s="413"/>
      <c r="F53" s="414"/>
      <c r="G53" s="552"/>
    </row>
    <row r="54" spans="1:7" ht="19.5" customHeight="1">
      <c r="A54" s="553"/>
      <c r="B54" s="226"/>
      <c r="C54" s="227" t="s">
        <v>113</v>
      </c>
      <c r="D54" s="226"/>
      <c r="E54" s="416"/>
      <c r="F54" s="417"/>
      <c r="G54" s="554">
        <f>SUBTOTAL(9,G30:G53)</f>
        <v>0</v>
      </c>
    </row>
    <row r="55" spans="1:7" ht="12.75">
      <c r="A55" s="543"/>
      <c r="B55" s="180"/>
      <c r="C55" s="180"/>
      <c r="D55" s="180"/>
      <c r="E55" s="180"/>
      <c r="F55" s="180"/>
      <c r="G55" s="544"/>
    </row>
    <row r="56" spans="1:7" ht="17.25" customHeight="1">
      <c r="A56" s="545" t="s">
        <v>100</v>
      </c>
      <c r="B56" s="183"/>
      <c r="C56" s="184" t="s">
        <v>396</v>
      </c>
      <c r="D56" s="397"/>
      <c r="E56" s="398"/>
      <c r="F56" s="187"/>
      <c r="G56" s="546"/>
    </row>
    <row r="57" spans="1:7" ht="12.75">
      <c r="A57" s="547"/>
      <c r="B57" s="400"/>
      <c r="C57" s="232"/>
      <c r="D57" s="233"/>
      <c r="E57" s="401"/>
      <c r="F57" s="402"/>
      <c r="G57" s="548"/>
    </row>
    <row r="58" spans="1:7" s="505" customFormat="1" ht="12.75">
      <c r="A58" s="549" t="s">
        <v>115</v>
      </c>
      <c r="B58" s="501"/>
      <c r="C58" s="502" t="s">
        <v>945</v>
      </c>
      <c r="D58" s="503" t="s">
        <v>116</v>
      </c>
      <c r="E58" s="504">
        <v>15</v>
      </c>
      <c r="F58" s="504"/>
      <c r="G58" s="550">
        <f aca="true" t="shared" si="1" ref="G58:G75">$E58*F58</f>
        <v>0</v>
      </c>
    </row>
    <row r="59" spans="1:7" s="505" customFormat="1" ht="12.75">
      <c r="A59" s="549" t="s">
        <v>117</v>
      </c>
      <c r="B59" s="501"/>
      <c r="C59" s="502" t="s">
        <v>946</v>
      </c>
      <c r="D59" s="503" t="s">
        <v>116</v>
      </c>
      <c r="E59" s="504">
        <v>79</v>
      </c>
      <c r="F59" s="504"/>
      <c r="G59" s="550">
        <f t="shared" si="1"/>
        <v>0</v>
      </c>
    </row>
    <row r="60" spans="1:7" s="505" customFormat="1" ht="12.75">
      <c r="A60" s="549" t="s">
        <v>119</v>
      </c>
      <c r="B60" s="501"/>
      <c r="C60" s="502" t="s">
        <v>947</v>
      </c>
      <c r="D60" s="503" t="s">
        <v>116</v>
      </c>
      <c r="E60" s="504">
        <v>43</v>
      </c>
      <c r="F60" s="504"/>
      <c r="G60" s="550">
        <f t="shared" si="1"/>
        <v>0</v>
      </c>
    </row>
    <row r="61" spans="1:7" s="505" customFormat="1" ht="12.75">
      <c r="A61" s="549" t="s">
        <v>295</v>
      </c>
      <c r="B61" s="501"/>
      <c r="C61" s="502" t="s">
        <v>948</v>
      </c>
      <c r="D61" s="503" t="s">
        <v>116</v>
      </c>
      <c r="E61" s="504">
        <v>41</v>
      </c>
      <c r="F61" s="504"/>
      <c r="G61" s="550">
        <f t="shared" si="1"/>
        <v>0</v>
      </c>
    </row>
    <row r="62" spans="1:7" s="505" customFormat="1" ht="12.75">
      <c r="A62" s="549" t="s">
        <v>299</v>
      </c>
      <c r="B62" s="501"/>
      <c r="C62" s="502" t="s">
        <v>949</v>
      </c>
      <c r="D62" s="503" t="s">
        <v>116</v>
      </c>
      <c r="E62" s="504">
        <v>14</v>
      </c>
      <c r="F62" s="504"/>
      <c r="G62" s="550">
        <f t="shared" si="1"/>
        <v>0</v>
      </c>
    </row>
    <row r="63" spans="1:7" s="505" customFormat="1" ht="12.75">
      <c r="A63" s="549" t="s">
        <v>301</v>
      </c>
      <c r="B63" s="501"/>
      <c r="C63" s="502" t="s">
        <v>950</v>
      </c>
      <c r="D63" s="503" t="s">
        <v>116</v>
      </c>
      <c r="E63" s="504">
        <v>23</v>
      </c>
      <c r="F63" s="504"/>
      <c r="G63" s="550">
        <f t="shared" si="1"/>
        <v>0</v>
      </c>
    </row>
    <row r="64" spans="1:7" s="505" customFormat="1" ht="12.75">
      <c r="A64" s="549" t="s">
        <v>304</v>
      </c>
      <c r="B64" s="501"/>
      <c r="C64" s="502" t="s">
        <v>951</v>
      </c>
      <c r="D64" s="503" t="s">
        <v>116</v>
      </c>
      <c r="E64" s="504">
        <v>57</v>
      </c>
      <c r="F64" s="504"/>
      <c r="G64" s="550">
        <f t="shared" si="1"/>
        <v>0</v>
      </c>
    </row>
    <row r="65" spans="1:7" s="505" customFormat="1" ht="12.75">
      <c r="A65" s="549" t="s">
        <v>307</v>
      </c>
      <c r="B65" s="501"/>
      <c r="C65" s="502" t="s">
        <v>952</v>
      </c>
      <c r="D65" s="503" t="s">
        <v>116</v>
      </c>
      <c r="E65" s="504">
        <v>11</v>
      </c>
      <c r="F65" s="504"/>
      <c r="G65" s="550">
        <f t="shared" si="1"/>
        <v>0</v>
      </c>
    </row>
    <row r="66" spans="1:7" s="505" customFormat="1" ht="12.75">
      <c r="A66" s="549" t="s">
        <v>310</v>
      </c>
      <c r="B66" s="501"/>
      <c r="C66" s="502" t="s">
        <v>953</v>
      </c>
      <c r="D66" s="503" t="s">
        <v>116</v>
      </c>
      <c r="E66" s="504">
        <v>38</v>
      </c>
      <c r="F66" s="504"/>
      <c r="G66" s="550">
        <f t="shared" si="1"/>
        <v>0</v>
      </c>
    </row>
    <row r="67" spans="1:7" s="505" customFormat="1" ht="12.75">
      <c r="A67" s="549" t="s">
        <v>311</v>
      </c>
      <c r="B67" s="501"/>
      <c r="C67" s="502" t="s">
        <v>954</v>
      </c>
      <c r="D67" s="503" t="s">
        <v>116</v>
      </c>
      <c r="E67" s="504">
        <v>136</v>
      </c>
      <c r="F67" s="504"/>
      <c r="G67" s="550">
        <f t="shared" si="1"/>
        <v>0</v>
      </c>
    </row>
    <row r="68" spans="1:7" s="505" customFormat="1" ht="12.75">
      <c r="A68" s="549" t="s">
        <v>312</v>
      </c>
      <c r="B68" s="501"/>
      <c r="C68" s="502" t="s">
        <v>955</v>
      </c>
      <c r="D68" s="503" t="s">
        <v>116</v>
      </c>
      <c r="E68" s="504">
        <v>54</v>
      </c>
      <c r="F68" s="504"/>
      <c r="G68" s="550">
        <f t="shared" si="1"/>
        <v>0</v>
      </c>
    </row>
    <row r="69" spans="1:7" s="505" customFormat="1" ht="12.75">
      <c r="A69" s="549" t="s">
        <v>313</v>
      </c>
      <c r="B69" s="501"/>
      <c r="C69" s="502" t="s">
        <v>956</v>
      </c>
      <c r="D69" s="503" t="s">
        <v>116</v>
      </c>
      <c r="E69" s="504">
        <v>41</v>
      </c>
      <c r="F69" s="504"/>
      <c r="G69" s="550">
        <f t="shared" si="1"/>
        <v>0</v>
      </c>
    </row>
    <row r="70" spans="1:7" s="505" customFormat="1" ht="12.75">
      <c r="A70" s="549" t="s">
        <v>314</v>
      </c>
      <c r="B70" s="501"/>
      <c r="C70" s="502" t="s">
        <v>957</v>
      </c>
      <c r="D70" s="503" t="s">
        <v>116</v>
      </c>
      <c r="E70" s="504">
        <v>14</v>
      </c>
      <c r="F70" s="504"/>
      <c r="G70" s="550">
        <f t="shared" si="1"/>
        <v>0</v>
      </c>
    </row>
    <row r="71" spans="1:7" s="505" customFormat="1" ht="12.75">
      <c r="A71" s="549" t="s">
        <v>315</v>
      </c>
      <c r="B71" s="501"/>
      <c r="C71" s="502" t="s">
        <v>958</v>
      </c>
      <c r="D71" s="503" t="s">
        <v>116</v>
      </c>
      <c r="E71" s="504">
        <v>1</v>
      </c>
      <c r="F71" s="504"/>
      <c r="G71" s="550">
        <f t="shared" si="1"/>
        <v>0</v>
      </c>
    </row>
    <row r="72" spans="1:7" s="505" customFormat="1" ht="12.75">
      <c r="A72" s="549" t="s">
        <v>316</v>
      </c>
      <c r="B72" s="501"/>
      <c r="C72" s="502" t="s">
        <v>959</v>
      </c>
      <c r="D72" s="503" t="s">
        <v>116</v>
      </c>
      <c r="E72" s="504">
        <v>31</v>
      </c>
      <c r="F72" s="504"/>
      <c r="G72" s="550">
        <f t="shared" si="1"/>
        <v>0</v>
      </c>
    </row>
    <row r="73" spans="1:7" s="505" customFormat="1" ht="12.75">
      <c r="A73" s="549" t="s">
        <v>317</v>
      </c>
      <c r="B73" s="501"/>
      <c r="C73" s="502" t="s">
        <v>960</v>
      </c>
      <c r="D73" s="503" t="s">
        <v>161</v>
      </c>
      <c r="E73" s="504">
        <v>1</v>
      </c>
      <c r="F73" s="504"/>
      <c r="G73" s="550">
        <f t="shared" si="1"/>
        <v>0</v>
      </c>
    </row>
    <row r="74" spans="1:7" s="505" customFormat="1" ht="12.75">
      <c r="A74" s="549" t="s">
        <v>318</v>
      </c>
      <c r="B74" s="501"/>
      <c r="C74" s="502" t="s">
        <v>961</v>
      </c>
      <c r="D74" s="503" t="s">
        <v>116</v>
      </c>
      <c r="E74" s="504">
        <v>314</v>
      </c>
      <c r="F74" s="504"/>
      <c r="G74" s="550">
        <f t="shared" si="1"/>
        <v>0</v>
      </c>
    </row>
    <row r="75" spans="1:7" s="505" customFormat="1" ht="12.75">
      <c r="A75" s="549" t="s">
        <v>401</v>
      </c>
      <c r="B75" s="501"/>
      <c r="C75" s="502" t="s">
        <v>962</v>
      </c>
      <c r="D75" s="503" t="s">
        <v>116</v>
      </c>
      <c r="E75" s="504">
        <v>314</v>
      </c>
      <c r="F75" s="504"/>
      <c r="G75" s="550">
        <f t="shared" si="1"/>
        <v>0</v>
      </c>
    </row>
    <row r="76" spans="1:7" s="505" customFormat="1" ht="12.75">
      <c r="A76" s="555"/>
      <c r="B76" s="512"/>
      <c r="C76" s="502"/>
      <c r="D76" s="503"/>
      <c r="E76" s="954"/>
      <c r="F76" s="954"/>
      <c r="G76" s="556"/>
    </row>
    <row r="77" spans="1:7" s="505" customFormat="1" ht="12.75">
      <c r="A77" s="549" t="s">
        <v>402</v>
      </c>
      <c r="B77" s="512"/>
      <c r="C77" s="502" t="s">
        <v>963</v>
      </c>
      <c r="D77" s="503" t="s">
        <v>158</v>
      </c>
      <c r="E77" s="954">
        <v>3</v>
      </c>
      <c r="F77" s="954"/>
      <c r="G77" s="550">
        <f aca="true" t="shared" si="2" ref="G77:G87">$E77*F77</f>
        <v>0</v>
      </c>
    </row>
    <row r="78" spans="1:7" s="505" customFormat="1" ht="12.75">
      <c r="A78" s="549" t="s">
        <v>403</v>
      </c>
      <c r="B78" s="512"/>
      <c r="C78" s="502" t="s">
        <v>964</v>
      </c>
      <c r="D78" s="503" t="s">
        <v>158</v>
      </c>
      <c r="E78" s="954">
        <v>3</v>
      </c>
      <c r="F78" s="954"/>
      <c r="G78" s="550">
        <f t="shared" si="2"/>
        <v>0</v>
      </c>
    </row>
    <row r="79" spans="1:7" s="505" customFormat="1" ht="12.75">
      <c r="A79" s="549" t="s">
        <v>404</v>
      </c>
      <c r="B79" s="512"/>
      <c r="C79" s="502" t="s">
        <v>965</v>
      </c>
      <c r="D79" s="503" t="s">
        <v>158</v>
      </c>
      <c r="E79" s="954">
        <v>1</v>
      </c>
      <c r="F79" s="954"/>
      <c r="G79" s="550">
        <f t="shared" si="2"/>
        <v>0</v>
      </c>
    </row>
    <row r="80" spans="1:7" s="505" customFormat="1" ht="12.75">
      <c r="A80" s="549" t="s">
        <v>405</v>
      </c>
      <c r="B80" s="512"/>
      <c r="C80" s="502" t="s">
        <v>966</v>
      </c>
      <c r="D80" s="503" t="s">
        <v>158</v>
      </c>
      <c r="E80" s="954">
        <v>2</v>
      </c>
      <c r="F80" s="954"/>
      <c r="G80" s="550">
        <f t="shared" si="2"/>
        <v>0</v>
      </c>
    </row>
    <row r="81" spans="1:7" s="505" customFormat="1" ht="12.75">
      <c r="A81" s="549" t="s">
        <v>464</v>
      </c>
      <c r="B81" s="512"/>
      <c r="C81" s="502" t="s">
        <v>967</v>
      </c>
      <c r="D81" s="503" t="s">
        <v>158</v>
      </c>
      <c r="E81" s="954">
        <v>3</v>
      </c>
      <c r="F81" s="954"/>
      <c r="G81" s="550">
        <f t="shared" si="2"/>
        <v>0</v>
      </c>
    </row>
    <row r="82" spans="1:7" s="505" customFormat="1" ht="12.75">
      <c r="A82" s="549" t="s">
        <v>465</v>
      </c>
      <c r="B82" s="512"/>
      <c r="C82" s="502" t="s">
        <v>968</v>
      </c>
      <c r="D82" s="503" t="s">
        <v>158</v>
      </c>
      <c r="E82" s="954">
        <v>8</v>
      </c>
      <c r="F82" s="954"/>
      <c r="G82" s="550">
        <f t="shared" si="2"/>
        <v>0</v>
      </c>
    </row>
    <row r="83" spans="1:7" s="505" customFormat="1" ht="12.75">
      <c r="A83" s="549" t="s">
        <v>466</v>
      </c>
      <c r="B83" s="512"/>
      <c r="C83" s="502" t="s">
        <v>969</v>
      </c>
      <c r="D83" s="503" t="s">
        <v>158</v>
      </c>
      <c r="E83" s="954">
        <v>1</v>
      </c>
      <c r="F83" s="954"/>
      <c r="G83" s="550">
        <f t="shared" si="2"/>
        <v>0</v>
      </c>
    </row>
    <row r="84" spans="1:7" s="505" customFormat="1" ht="12.75">
      <c r="A84" s="549" t="s">
        <v>467</v>
      </c>
      <c r="B84" s="512"/>
      <c r="C84" s="502" t="s">
        <v>970</v>
      </c>
      <c r="D84" s="503" t="s">
        <v>158</v>
      </c>
      <c r="E84" s="954">
        <v>3</v>
      </c>
      <c r="F84" s="954"/>
      <c r="G84" s="550">
        <f t="shared" si="2"/>
        <v>0</v>
      </c>
    </row>
    <row r="85" spans="1:7" s="505" customFormat="1" ht="12.75">
      <c r="A85" s="549" t="s">
        <v>468</v>
      </c>
      <c r="B85" s="512"/>
      <c r="C85" s="502" t="s">
        <v>971</v>
      </c>
      <c r="D85" s="503" t="s">
        <v>158</v>
      </c>
      <c r="E85" s="954">
        <v>1</v>
      </c>
      <c r="F85" s="954"/>
      <c r="G85" s="550">
        <f t="shared" si="2"/>
        <v>0</v>
      </c>
    </row>
    <row r="86" spans="1:7" s="505" customFormat="1" ht="12.75">
      <c r="A86" s="549" t="s">
        <v>469</v>
      </c>
      <c r="B86" s="512"/>
      <c r="C86" s="502" t="s">
        <v>972</v>
      </c>
      <c r="D86" s="503" t="s">
        <v>161</v>
      </c>
      <c r="E86" s="954">
        <v>3</v>
      </c>
      <c r="F86" s="954"/>
      <c r="G86" s="550">
        <f t="shared" si="2"/>
        <v>0</v>
      </c>
    </row>
    <row r="87" spans="1:7" s="505" customFormat="1" ht="12.75">
      <c r="A87" s="549" t="s">
        <v>470</v>
      </c>
      <c r="B87" s="512"/>
      <c r="C87" s="502" t="s">
        <v>973</v>
      </c>
      <c r="D87" s="503" t="s">
        <v>158</v>
      </c>
      <c r="E87" s="954">
        <v>45</v>
      </c>
      <c r="F87" s="954"/>
      <c r="G87" s="550">
        <f t="shared" si="2"/>
        <v>0</v>
      </c>
    </row>
    <row r="88" spans="1:7" s="505" customFormat="1" ht="12.75">
      <c r="A88" s="555"/>
      <c r="B88" s="512"/>
      <c r="C88" s="502"/>
      <c r="D88" s="503"/>
      <c r="E88" s="954"/>
      <c r="F88" s="954"/>
      <c r="G88" s="556"/>
    </row>
    <row r="89" spans="1:7" s="505" customFormat="1" ht="12.75">
      <c r="A89" s="549" t="s">
        <v>471</v>
      </c>
      <c r="B89" s="512"/>
      <c r="C89" s="502" t="s">
        <v>974</v>
      </c>
      <c r="D89" s="503" t="s">
        <v>158</v>
      </c>
      <c r="E89" s="954">
        <v>2</v>
      </c>
      <c r="F89" s="954"/>
      <c r="G89" s="550">
        <f>$E89*F89</f>
        <v>0</v>
      </c>
    </row>
    <row r="90" spans="1:7" s="505" customFormat="1" ht="12.75">
      <c r="A90" s="549" t="s">
        <v>472</v>
      </c>
      <c r="B90" s="512"/>
      <c r="C90" s="502" t="s">
        <v>975</v>
      </c>
      <c r="D90" s="503" t="s">
        <v>158</v>
      </c>
      <c r="E90" s="954">
        <v>1</v>
      </c>
      <c r="F90" s="954"/>
      <c r="G90" s="550">
        <f>$E90*F90</f>
        <v>0</v>
      </c>
    </row>
    <row r="91" spans="1:7" s="505" customFormat="1" ht="12.75">
      <c r="A91" s="549" t="s">
        <v>473</v>
      </c>
      <c r="B91" s="512"/>
      <c r="C91" s="502" t="s">
        <v>976</v>
      </c>
      <c r="D91" s="503" t="s">
        <v>161</v>
      </c>
      <c r="E91" s="954">
        <v>1</v>
      </c>
      <c r="F91" s="954"/>
      <c r="G91" s="550">
        <f>$E91*F91</f>
        <v>0</v>
      </c>
    </row>
    <row r="92" spans="1:7" ht="14" thickBot="1">
      <c r="A92" s="551"/>
      <c r="B92" s="412"/>
      <c r="C92" s="220"/>
      <c r="D92" s="221"/>
      <c r="E92" s="413"/>
      <c r="F92" s="414"/>
      <c r="G92" s="552"/>
    </row>
    <row r="93" spans="1:7" ht="12.75">
      <c r="A93" s="553"/>
      <c r="B93" s="226"/>
      <c r="C93" s="227" t="s">
        <v>113</v>
      </c>
      <c r="D93" s="226"/>
      <c r="E93" s="416"/>
      <c r="F93" s="417"/>
      <c r="G93" s="554">
        <f>SUBTOTAL(9,G57:G92)</f>
        <v>0</v>
      </c>
    </row>
    <row r="94" spans="1:7" ht="12.75">
      <c r="A94" s="543"/>
      <c r="B94" s="180"/>
      <c r="C94" s="180"/>
      <c r="D94" s="180"/>
      <c r="E94" s="180"/>
      <c r="F94" s="180"/>
      <c r="G94" s="544"/>
    </row>
    <row r="95" spans="1:7" ht="17.25" customHeight="1">
      <c r="A95" s="545" t="s">
        <v>121</v>
      </c>
      <c r="B95" s="183"/>
      <c r="C95" s="184" t="s">
        <v>397</v>
      </c>
      <c r="D95" s="397"/>
      <c r="E95" s="398"/>
      <c r="F95" s="187"/>
      <c r="G95" s="546"/>
    </row>
    <row r="96" spans="1:7" ht="12.75">
      <c r="A96" s="547"/>
      <c r="B96" s="400"/>
      <c r="C96" s="232"/>
      <c r="D96" s="233"/>
      <c r="E96" s="401"/>
      <c r="F96" s="402"/>
      <c r="G96" s="548"/>
    </row>
    <row r="97" spans="1:7" s="505" customFormat="1" ht="12.75">
      <c r="A97" s="549"/>
      <c r="B97" s="501"/>
      <c r="C97" s="502" t="s">
        <v>933</v>
      </c>
      <c r="D97" s="503"/>
      <c r="E97" s="504"/>
      <c r="F97" s="504"/>
      <c r="G97" s="550"/>
    </row>
    <row r="98" spans="1:7" s="505" customFormat="1" ht="12.75">
      <c r="A98" s="549"/>
      <c r="B98" s="501"/>
      <c r="C98" s="506" t="s">
        <v>398</v>
      </c>
      <c r="D98" s="503"/>
      <c r="E98" s="504"/>
      <c r="F98" s="504"/>
      <c r="G98" s="550"/>
    </row>
    <row r="99" spans="1:7" s="505" customFormat="1" ht="12.75">
      <c r="A99" s="549" t="s">
        <v>123</v>
      </c>
      <c r="B99" s="501"/>
      <c r="C99" s="502" t="s">
        <v>977</v>
      </c>
      <c r="D99" s="503" t="s">
        <v>158</v>
      </c>
      <c r="E99" s="504">
        <v>9</v>
      </c>
      <c r="F99" s="504"/>
      <c r="G99" s="550">
        <f>$E99*F99</f>
        <v>0</v>
      </c>
    </row>
    <row r="100" spans="1:7" s="505" customFormat="1" ht="12.75">
      <c r="A100" s="549" t="s">
        <v>124</v>
      </c>
      <c r="B100" s="501"/>
      <c r="C100" s="502" t="s">
        <v>978</v>
      </c>
      <c r="D100" s="503" t="s">
        <v>158</v>
      </c>
      <c r="E100" s="504">
        <v>1</v>
      </c>
      <c r="F100" s="504"/>
      <c r="G100" s="550">
        <f>$E100*F100</f>
        <v>0</v>
      </c>
    </row>
    <row r="101" spans="1:7" s="505" customFormat="1" ht="12.75">
      <c r="A101" s="549" t="s">
        <v>125</v>
      </c>
      <c r="B101" s="501"/>
      <c r="C101" s="502" t="s">
        <v>979</v>
      </c>
      <c r="D101" s="503" t="s">
        <v>158</v>
      </c>
      <c r="E101" s="504">
        <v>10</v>
      </c>
      <c r="F101" s="504"/>
      <c r="G101" s="550">
        <f>$E101*F101</f>
        <v>0</v>
      </c>
    </row>
    <row r="102" spans="1:7" s="505" customFormat="1" ht="16.5" customHeight="1">
      <c r="A102" s="549" t="s">
        <v>126</v>
      </c>
      <c r="B102" s="512"/>
      <c r="C102" s="502" t="s">
        <v>941</v>
      </c>
      <c r="D102" s="503" t="s">
        <v>158</v>
      </c>
      <c r="E102" s="954">
        <v>10</v>
      </c>
      <c r="F102" s="954"/>
      <c r="G102" s="550">
        <f>$E102*F102</f>
        <v>0</v>
      </c>
    </row>
    <row r="103" spans="1:7" s="505" customFormat="1" ht="12.75">
      <c r="A103" s="549"/>
      <c r="B103" s="501"/>
      <c r="C103" s="502"/>
      <c r="D103" s="503"/>
      <c r="E103" s="504"/>
      <c r="F103" s="504"/>
      <c r="G103" s="550"/>
    </row>
    <row r="104" spans="1:7" s="505" customFormat="1" ht="12.75">
      <c r="A104" s="549"/>
      <c r="B104" s="501"/>
      <c r="C104" s="506" t="s">
        <v>399</v>
      </c>
      <c r="D104" s="503"/>
      <c r="E104" s="504"/>
      <c r="F104" s="504"/>
      <c r="G104" s="550"/>
    </row>
    <row r="105" spans="1:7" s="505" customFormat="1" ht="12.75">
      <c r="A105" s="549" t="s">
        <v>127</v>
      </c>
      <c r="B105" s="501"/>
      <c r="C105" s="502" t="s">
        <v>980</v>
      </c>
      <c r="D105" s="503" t="s">
        <v>158</v>
      </c>
      <c r="E105" s="504">
        <v>10</v>
      </c>
      <c r="F105" s="504"/>
      <c r="G105" s="550">
        <f>$E105*F105</f>
        <v>0</v>
      </c>
    </row>
    <row r="106" spans="1:7" s="505" customFormat="1" ht="12.75">
      <c r="A106" s="549" t="s">
        <v>128</v>
      </c>
      <c r="B106" s="501"/>
      <c r="C106" s="502" t="s">
        <v>982</v>
      </c>
      <c r="D106" s="503" t="s">
        <v>158</v>
      </c>
      <c r="E106" s="504">
        <v>9</v>
      </c>
      <c r="F106" s="504"/>
      <c r="G106" s="550">
        <f>$E106*F106</f>
        <v>0</v>
      </c>
    </row>
    <row r="107" spans="1:7" s="505" customFormat="1" ht="12.75">
      <c r="A107" s="549" t="s">
        <v>129</v>
      </c>
      <c r="B107" s="501"/>
      <c r="C107" s="502" t="s">
        <v>983</v>
      </c>
      <c r="D107" s="503" t="s">
        <v>158</v>
      </c>
      <c r="E107" s="504">
        <v>1</v>
      </c>
      <c r="F107" s="504"/>
      <c r="G107" s="550">
        <f>$E107*F107</f>
        <v>0</v>
      </c>
    </row>
    <row r="108" spans="1:7" s="505" customFormat="1" ht="12.75">
      <c r="A108" s="549"/>
      <c r="B108" s="501"/>
      <c r="C108" s="506" t="s">
        <v>400</v>
      </c>
      <c r="D108" s="503"/>
      <c r="E108" s="504"/>
      <c r="F108" s="504"/>
      <c r="G108" s="550"/>
    </row>
    <row r="109" spans="1:7" s="505" customFormat="1" ht="12.75">
      <c r="A109" s="549" t="s">
        <v>130</v>
      </c>
      <c r="B109" s="501"/>
      <c r="C109" s="502" t="s">
        <v>981</v>
      </c>
      <c r="D109" s="503" t="s">
        <v>158</v>
      </c>
      <c r="E109" s="504">
        <v>7</v>
      </c>
      <c r="F109" s="504"/>
      <c r="G109" s="550">
        <f>$E109*F109</f>
        <v>0</v>
      </c>
    </row>
    <row r="110" spans="1:7" s="505" customFormat="1" ht="12.75">
      <c r="A110" s="555"/>
      <c r="B110" s="512"/>
      <c r="C110" s="506" t="s">
        <v>934</v>
      </c>
      <c r="D110" s="503"/>
      <c r="E110" s="954"/>
      <c r="F110" s="954"/>
      <c r="G110" s="556"/>
    </row>
    <row r="111" spans="1:7" s="505" customFormat="1" ht="12.75">
      <c r="A111" s="549" t="s">
        <v>131</v>
      </c>
      <c r="B111" s="512"/>
      <c r="C111" s="502" t="s">
        <v>935</v>
      </c>
      <c r="D111" s="503" t="s">
        <v>158</v>
      </c>
      <c r="E111" s="954">
        <v>2</v>
      </c>
      <c r="F111" s="954"/>
      <c r="G111" s="550">
        <f>$E111*F111</f>
        <v>0</v>
      </c>
    </row>
    <row r="112" spans="1:7" s="505" customFormat="1" ht="12.75">
      <c r="A112" s="633"/>
      <c r="B112" s="915"/>
      <c r="C112" s="916" t="s">
        <v>2174</v>
      </c>
      <c r="D112" s="503" t="s">
        <v>158</v>
      </c>
      <c r="E112" s="918">
        <v>2</v>
      </c>
      <c r="F112" s="918"/>
      <c r="G112" s="550">
        <f>$E112*F112</f>
        <v>0</v>
      </c>
    </row>
    <row r="113" spans="1:7" s="505" customFormat="1" ht="12.75">
      <c r="A113" s="555"/>
      <c r="B113" s="512"/>
      <c r="C113" s="506" t="s">
        <v>936</v>
      </c>
      <c r="D113" s="503"/>
      <c r="E113" s="954"/>
      <c r="F113" s="954"/>
      <c r="G113" s="556"/>
    </row>
    <row r="114" spans="1:7" s="505" customFormat="1" ht="17.25" customHeight="1">
      <c r="A114" s="549" t="s">
        <v>133</v>
      </c>
      <c r="B114" s="512"/>
      <c r="C114" s="502" t="s">
        <v>984</v>
      </c>
      <c r="D114" s="503" t="s">
        <v>158</v>
      </c>
      <c r="E114" s="954">
        <v>1</v>
      </c>
      <c r="F114" s="954"/>
      <c r="G114" s="550">
        <f aca="true" t="shared" si="3" ref="G114:G119">$E114*F114</f>
        <v>0</v>
      </c>
    </row>
    <row r="115" spans="1:7" s="505" customFormat="1" ht="17.25" customHeight="1">
      <c r="A115" s="549" t="s">
        <v>136</v>
      </c>
      <c r="B115" s="512"/>
      <c r="C115" s="502" t="s">
        <v>937</v>
      </c>
      <c r="D115" s="503" t="s">
        <v>158</v>
      </c>
      <c r="E115" s="954">
        <v>1</v>
      </c>
      <c r="F115" s="954"/>
      <c r="G115" s="550">
        <f t="shared" si="3"/>
        <v>0</v>
      </c>
    </row>
    <row r="116" spans="1:7" s="505" customFormat="1" ht="16.5" customHeight="1">
      <c r="A116" s="549" t="s">
        <v>137</v>
      </c>
      <c r="B116" s="512"/>
      <c r="C116" s="502" t="s">
        <v>942</v>
      </c>
      <c r="D116" s="503" t="s">
        <v>158</v>
      </c>
      <c r="E116" s="954">
        <v>1</v>
      </c>
      <c r="F116" s="954"/>
      <c r="G116" s="550">
        <f t="shared" si="3"/>
        <v>0</v>
      </c>
    </row>
    <row r="117" spans="1:7" s="505" customFormat="1" ht="16.5" customHeight="1">
      <c r="A117" s="549" t="s">
        <v>138</v>
      </c>
      <c r="B117" s="512"/>
      <c r="C117" s="502" t="s">
        <v>943</v>
      </c>
      <c r="D117" s="503" t="s">
        <v>158</v>
      </c>
      <c r="E117" s="954">
        <v>1</v>
      </c>
      <c r="F117" s="954"/>
      <c r="G117" s="550">
        <f t="shared" si="3"/>
        <v>0</v>
      </c>
    </row>
    <row r="118" spans="1:7" s="505" customFormat="1" ht="16.5" customHeight="1">
      <c r="A118" s="549" t="s">
        <v>140</v>
      </c>
      <c r="B118" s="512"/>
      <c r="C118" s="502" t="s">
        <v>944</v>
      </c>
      <c r="D118" s="503" t="s">
        <v>161</v>
      </c>
      <c r="E118" s="954">
        <v>2</v>
      </c>
      <c r="F118" s="954"/>
      <c r="G118" s="550">
        <f t="shared" si="3"/>
        <v>0</v>
      </c>
    </row>
    <row r="119" spans="1:7" s="505" customFormat="1" ht="16.5" customHeight="1">
      <c r="A119" s="549" t="s">
        <v>141</v>
      </c>
      <c r="B119" s="915"/>
      <c r="C119" s="916" t="s">
        <v>2175</v>
      </c>
      <c r="D119" s="503" t="s">
        <v>158</v>
      </c>
      <c r="E119" s="954">
        <v>2</v>
      </c>
      <c r="F119" s="954"/>
      <c r="G119" s="550">
        <f t="shared" si="3"/>
        <v>0</v>
      </c>
    </row>
    <row r="120" spans="1:7" s="505" customFormat="1" ht="12.75">
      <c r="A120" s="555"/>
      <c r="B120" s="512"/>
      <c r="C120" s="506" t="s">
        <v>938</v>
      </c>
      <c r="D120" s="503"/>
      <c r="E120" s="954"/>
      <c r="F120" s="954"/>
      <c r="G120" s="556"/>
    </row>
    <row r="121" spans="1:7" s="505" customFormat="1" ht="12.75">
      <c r="A121" s="549" t="s">
        <v>143</v>
      </c>
      <c r="B121" s="512"/>
      <c r="C121" s="502" t="s">
        <v>985</v>
      </c>
      <c r="D121" s="503" t="s">
        <v>158</v>
      </c>
      <c r="E121" s="954">
        <v>2</v>
      </c>
      <c r="F121" s="954"/>
      <c r="G121" s="550">
        <f>$E121*F121</f>
        <v>0</v>
      </c>
    </row>
    <row r="122" spans="1:7" s="505" customFormat="1" ht="16.5" customHeight="1">
      <c r="A122" s="549" t="s">
        <v>145</v>
      </c>
      <c r="B122" s="512"/>
      <c r="C122" s="502" t="s">
        <v>986</v>
      </c>
      <c r="D122" s="503" t="s">
        <v>158</v>
      </c>
      <c r="E122" s="954">
        <v>3</v>
      </c>
      <c r="F122" s="954"/>
      <c r="G122" s="550">
        <f>$E122*F122</f>
        <v>0</v>
      </c>
    </row>
    <row r="123" spans="1:7" s="505" customFormat="1" ht="12.75">
      <c r="A123" s="549" t="s">
        <v>147</v>
      </c>
      <c r="B123" s="512"/>
      <c r="C123" s="502" t="s">
        <v>2176</v>
      </c>
      <c r="D123" s="503" t="s">
        <v>158</v>
      </c>
      <c r="E123" s="954">
        <v>1</v>
      </c>
      <c r="F123" s="954"/>
      <c r="G123" s="556">
        <f>$E123*F123</f>
        <v>0</v>
      </c>
    </row>
    <row r="124" spans="1:7" s="505" customFormat="1" ht="12.75">
      <c r="A124" s="549" t="s">
        <v>149</v>
      </c>
      <c r="B124" s="915"/>
      <c r="C124" s="916" t="s">
        <v>2177</v>
      </c>
      <c r="D124" s="503" t="s">
        <v>158</v>
      </c>
      <c r="E124" s="954">
        <v>3</v>
      </c>
      <c r="F124" s="954"/>
      <c r="G124" s="556">
        <f>$E124*F124</f>
        <v>0</v>
      </c>
    </row>
    <row r="125" spans="1:7" s="505" customFormat="1" ht="12.75">
      <c r="A125" s="633"/>
      <c r="B125" s="915"/>
      <c r="C125" s="916"/>
      <c r="D125" s="917"/>
      <c r="E125" s="918"/>
      <c r="F125" s="918"/>
      <c r="G125" s="636"/>
    </row>
    <row r="126" spans="1:7" s="505" customFormat="1" ht="28.5" customHeight="1">
      <c r="A126" s="549" t="s">
        <v>153</v>
      </c>
      <c r="B126" s="512"/>
      <c r="C126" s="502" t="s">
        <v>939</v>
      </c>
      <c r="D126" s="503" t="s">
        <v>161</v>
      </c>
      <c r="E126" s="954">
        <v>2</v>
      </c>
      <c r="F126" s="954"/>
      <c r="G126" s="550">
        <f>$E126*F126</f>
        <v>0</v>
      </c>
    </row>
    <row r="127" spans="1:7" s="505" customFormat="1" ht="28.5" customHeight="1">
      <c r="A127" s="549" t="s">
        <v>898</v>
      </c>
      <c r="B127" s="634"/>
      <c r="C127" s="645" t="s">
        <v>940</v>
      </c>
      <c r="D127" s="646" t="s">
        <v>161</v>
      </c>
      <c r="E127" s="635">
        <v>1</v>
      </c>
      <c r="F127" s="635"/>
      <c r="G127" s="636">
        <f>$E127*F127</f>
        <v>0</v>
      </c>
    </row>
    <row r="128" spans="1:7" s="505" customFormat="1" ht="18" customHeight="1">
      <c r="A128" s="637"/>
      <c r="B128" s="638"/>
      <c r="C128" s="647"/>
      <c r="D128" s="648"/>
      <c r="E128" s="639"/>
      <c r="F128" s="639"/>
      <c r="G128" s="640"/>
    </row>
    <row r="129" spans="1:7" s="505" customFormat="1" ht="18" customHeight="1">
      <c r="A129" s="549" t="s">
        <v>899</v>
      </c>
      <c r="B129" s="638"/>
      <c r="C129" s="647" t="s">
        <v>995</v>
      </c>
      <c r="D129" s="648" t="s">
        <v>161</v>
      </c>
      <c r="E129" s="639">
        <v>3</v>
      </c>
      <c r="F129" s="639"/>
      <c r="G129" s="640">
        <f>$E129*F129</f>
        <v>0</v>
      </c>
    </row>
    <row r="130" spans="1:7" s="204" customFormat="1" ht="12.75">
      <c r="A130" s="637"/>
      <c r="B130" s="649"/>
      <c r="C130" s="650"/>
      <c r="D130" s="649"/>
      <c r="E130" s="651"/>
      <c r="F130" s="652"/>
      <c r="G130" s="653"/>
    </row>
    <row r="131" spans="1:7" s="505" customFormat="1" ht="28.5" customHeight="1">
      <c r="A131" s="549" t="s">
        <v>900</v>
      </c>
      <c r="B131" s="641"/>
      <c r="C131" s="654" t="s">
        <v>996</v>
      </c>
      <c r="D131" s="655" t="s">
        <v>161</v>
      </c>
      <c r="E131" s="642">
        <v>1</v>
      </c>
      <c r="F131" s="642"/>
      <c r="G131" s="643">
        <f>$E131*F131</f>
        <v>0</v>
      </c>
    </row>
    <row r="132" spans="1:7" s="505" customFormat="1" ht="28.5" customHeight="1">
      <c r="A132" s="549" t="s">
        <v>901</v>
      </c>
      <c r="B132" s="512"/>
      <c r="C132" s="502" t="s">
        <v>997</v>
      </c>
      <c r="D132" s="503" t="s">
        <v>161</v>
      </c>
      <c r="E132" s="954">
        <v>2</v>
      </c>
      <c r="F132" s="954"/>
      <c r="G132" s="550">
        <f>$E132*F132</f>
        <v>0</v>
      </c>
    </row>
    <row r="133" spans="1:7" s="505" customFormat="1" ht="28.5" customHeight="1">
      <c r="A133" s="549" t="s">
        <v>902</v>
      </c>
      <c r="B133" s="512"/>
      <c r="C133" s="502" t="s">
        <v>998</v>
      </c>
      <c r="D133" s="503" t="s">
        <v>161</v>
      </c>
      <c r="E133" s="954">
        <v>1</v>
      </c>
      <c r="F133" s="954"/>
      <c r="G133" s="550">
        <f>$E133*F133</f>
        <v>0</v>
      </c>
    </row>
    <row r="134" spans="1:7" s="505" customFormat="1" ht="25.5" customHeight="1">
      <c r="A134" s="549" t="s">
        <v>903</v>
      </c>
      <c r="B134" s="512"/>
      <c r="C134" s="502" t="s">
        <v>999</v>
      </c>
      <c r="D134" s="503" t="s">
        <v>161</v>
      </c>
      <c r="E134" s="954">
        <v>1</v>
      </c>
      <c r="F134" s="954"/>
      <c r="G134" s="550">
        <f>$E134*F134</f>
        <v>0</v>
      </c>
    </row>
    <row r="135" spans="1:7" s="505" customFormat="1" ht="12.75">
      <c r="A135" s="555"/>
      <c r="B135" s="512"/>
      <c r="C135" s="502"/>
      <c r="D135" s="503"/>
      <c r="E135" s="954"/>
      <c r="F135" s="954"/>
      <c r="G135" s="556"/>
    </row>
    <row r="136" spans="1:7" s="505" customFormat="1" ht="16.5" customHeight="1">
      <c r="A136" s="549" t="s">
        <v>904</v>
      </c>
      <c r="B136" s="512"/>
      <c r="C136" s="502" t="s">
        <v>987</v>
      </c>
      <c r="D136" s="503" t="s">
        <v>161</v>
      </c>
      <c r="E136" s="954">
        <v>1</v>
      </c>
      <c r="F136" s="954"/>
      <c r="G136" s="550">
        <f>$E136*F136</f>
        <v>0</v>
      </c>
    </row>
    <row r="137" spans="1:7" s="204" customFormat="1" ht="14" thickBot="1">
      <c r="A137" s="557"/>
      <c r="B137" s="412"/>
      <c r="C137" s="220"/>
      <c r="D137" s="221"/>
      <c r="E137" s="414"/>
      <c r="F137" s="414"/>
      <c r="G137" s="558"/>
    </row>
    <row r="138" spans="1:7" ht="12.75">
      <c r="A138" s="553"/>
      <c r="B138" s="226"/>
      <c r="C138" s="227" t="s">
        <v>113</v>
      </c>
      <c r="D138" s="226"/>
      <c r="E138" s="416"/>
      <c r="F138" s="417"/>
      <c r="G138" s="554">
        <f>SUBTOTAL(9,G96:G137)</f>
        <v>0</v>
      </c>
    </row>
    <row r="139" spans="1:7" ht="13" thickBot="1">
      <c r="A139" s="543"/>
      <c r="B139" s="180"/>
      <c r="C139" s="180"/>
      <c r="D139" s="180"/>
      <c r="E139" s="180"/>
      <c r="F139" s="180"/>
      <c r="G139" s="544"/>
    </row>
    <row r="140" spans="1:7" ht="13" thickBot="1">
      <c r="A140" s="545" t="s">
        <v>98</v>
      </c>
      <c r="B140" s="183"/>
      <c r="C140" s="184" t="s">
        <v>344</v>
      </c>
      <c r="D140" s="397"/>
      <c r="E140" s="440"/>
      <c r="F140" s="441"/>
      <c r="G140" s="546"/>
    </row>
    <row r="141" spans="1:7" ht="12.75">
      <c r="A141" s="547"/>
      <c r="B141" s="400"/>
      <c r="C141" s="232"/>
      <c r="D141" s="233"/>
      <c r="E141" s="401"/>
      <c r="F141" s="402"/>
      <c r="G141" s="548"/>
    </row>
    <row r="142" spans="1:7" s="204" customFormat="1" ht="18" customHeight="1">
      <c r="A142" s="644" t="s">
        <v>156</v>
      </c>
      <c r="B142" s="477"/>
      <c r="C142" s="306" t="s">
        <v>679</v>
      </c>
      <c r="D142" s="305" t="s">
        <v>161</v>
      </c>
      <c r="E142" s="439">
        <v>1</v>
      </c>
      <c r="F142" s="439"/>
      <c r="G142" s="550">
        <f>$E142*F142</f>
        <v>0</v>
      </c>
    </row>
    <row r="143" spans="1:7" s="204" customFormat="1" ht="18" customHeight="1">
      <c r="A143" s="644" t="s">
        <v>159</v>
      </c>
      <c r="B143" s="477"/>
      <c r="C143" s="306" t="s">
        <v>988</v>
      </c>
      <c r="D143" s="305" t="s">
        <v>161</v>
      </c>
      <c r="E143" s="439">
        <v>1</v>
      </c>
      <c r="F143" s="439"/>
      <c r="G143" s="550">
        <f>$E143*F143</f>
        <v>0</v>
      </c>
    </row>
    <row r="144" spans="1:7" s="204" customFormat="1" ht="18" customHeight="1">
      <c r="A144" s="644" t="s">
        <v>162</v>
      </c>
      <c r="B144" s="477"/>
      <c r="C144" s="306" t="s">
        <v>989</v>
      </c>
      <c r="D144" s="305" t="s">
        <v>161</v>
      </c>
      <c r="E144" s="439">
        <v>1</v>
      </c>
      <c r="F144" s="439"/>
      <c r="G144" s="550">
        <f>$E144*F144</f>
        <v>0</v>
      </c>
    </row>
    <row r="145" spans="1:7" s="204" customFormat="1" ht="30" customHeight="1">
      <c r="A145" s="644" t="s">
        <v>164</v>
      </c>
      <c r="B145" s="477"/>
      <c r="C145" s="306" t="s">
        <v>990</v>
      </c>
      <c r="D145" s="305" t="s">
        <v>161</v>
      </c>
      <c r="E145" s="439">
        <v>1</v>
      </c>
      <c r="F145" s="439"/>
      <c r="G145" s="550">
        <f>$E145*F145</f>
        <v>0</v>
      </c>
    </row>
    <row r="146" spans="1:7" s="204" customFormat="1" ht="18" customHeight="1">
      <c r="A146" s="644" t="s">
        <v>363</v>
      </c>
      <c r="B146" s="477"/>
      <c r="C146" s="306" t="s">
        <v>991</v>
      </c>
      <c r="D146" s="305" t="s">
        <v>161</v>
      </c>
      <c r="E146" s="439">
        <v>1</v>
      </c>
      <c r="F146" s="439"/>
      <c r="G146" s="550">
        <f>$E146*F146</f>
        <v>0</v>
      </c>
    </row>
    <row r="147" spans="1:7" ht="13" thickBot="1">
      <c r="A147" s="559"/>
      <c r="B147" s="153"/>
      <c r="C147" s="299"/>
      <c r="D147" s="153"/>
      <c r="E147" s="450"/>
      <c r="F147" s="451"/>
      <c r="G147" s="560"/>
    </row>
    <row r="148" spans="1:7" ht="13" thickBot="1">
      <c r="A148" s="553"/>
      <c r="B148" s="226"/>
      <c r="C148" s="227" t="s">
        <v>113</v>
      </c>
      <c r="D148" s="226"/>
      <c r="E148" s="303"/>
      <c r="F148" s="304"/>
      <c r="G148" s="554">
        <f>SUBTOTAL(9,G141:G147)</f>
        <v>0</v>
      </c>
    </row>
    <row r="149" spans="1:7" ht="13" thickBot="1">
      <c r="A149" s="543"/>
      <c r="B149" s="180"/>
      <c r="C149" s="180"/>
      <c r="D149" s="180"/>
      <c r="E149" s="180"/>
      <c r="F149" s="180"/>
      <c r="G149" s="544"/>
    </row>
    <row r="150" spans="1:7" ht="13" thickBot="1">
      <c r="A150" s="545" t="s">
        <v>291</v>
      </c>
      <c r="B150" s="183"/>
      <c r="C150" s="184" t="s">
        <v>338</v>
      </c>
      <c r="D150" s="397"/>
      <c r="E150" s="440"/>
      <c r="F150" s="441"/>
      <c r="G150" s="546"/>
    </row>
    <row r="151" spans="1:7" ht="12.75">
      <c r="A151" s="547"/>
      <c r="B151" s="400"/>
      <c r="C151" s="232"/>
      <c r="D151" s="233"/>
      <c r="E151" s="401"/>
      <c r="F151" s="402"/>
      <c r="G151" s="548"/>
    </row>
    <row r="152" spans="1:7" ht="50.25" customHeight="1">
      <c r="A152" s="561" t="s">
        <v>389</v>
      </c>
      <c r="B152" s="489"/>
      <c r="C152" s="492" t="s">
        <v>247</v>
      </c>
      <c r="D152" s="489"/>
      <c r="E152" s="493"/>
      <c r="F152" s="239"/>
      <c r="G152" s="562">
        <f>$E152*F152</f>
        <v>0</v>
      </c>
    </row>
    <row r="153" spans="1:7" ht="12.75">
      <c r="A153" s="559"/>
      <c r="B153" s="153"/>
      <c r="C153" s="299"/>
      <c r="D153" s="153"/>
      <c r="E153" s="450"/>
      <c r="F153" s="451"/>
      <c r="G153" s="560"/>
    </row>
    <row r="154" spans="1:7" ht="12.75">
      <c r="A154" s="553"/>
      <c r="B154" s="226"/>
      <c r="C154" s="227" t="s">
        <v>113</v>
      </c>
      <c r="D154" s="226"/>
      <c r="E154" s="303"/>
      <c r="F154" s="304"/>
      <c r="G154" s="554">
        <f>SUBTOTAL(9,G151:G153)</f>
        <v>0</v>
      </c>
    </row>
    <row r="155" spans="1:7" ht="12.75">
      <c r="A155" s="543"/>
      <c r="B155" s="180"/>
      <c r="C155" s="180"/>
      <c r="D155" s="180"/>
      <c r="E155" s="180"/>
      <c r="F155" s="180"/>
      <c r="G155" s="544"/>
    </row>
    <row r="156" spans="1:7" ht="27.75" customHeight="1">
      <c r="A156" s="563"/>
      <c r="B156" s="564"/>
      <c r="C156" s="565" t="s">
        <v>38</v>
      </c>
      <c r="D156" s="566"/>
      <c r="E156" s="566"/>
      <c r="F156" s="566"/>
      <c r="G156" s="567">
        <f>SUBTOTAL(9,G28:G154)</f>
        <v>0</v>
      </c>
    </row>
    <row r="158" spans="1:6" s="480" customFormat="1" ht="12.75">
      <c r="A158" s="72"/>
      <c r="B158" s="491"/>
      <c r="C158" s="491"/>
      <c r="D158" s="75"/>
      <c r="E158" s="76"/>
      <c r="F158" s="76"/>
    </row>
    <row r="159" spans="1:6" s="480" customFormat="1" ht="12.75">
      <c r="A159" s="72"/>
      <c r="B159" s="491"/>
      <c r="C159" s="491"/>
      <c r="D159" s="75"/>
      <c r="E159" s="76"/>
      <c r="F159" s="76"/>
    </row>
    <row r="160" spans="1:6" s="480" customFormat="1" ht="12.75">
      <c r="A160" s="72"/>
      <c r="B160" s="491"/>
      <c r="C160" s="491"/>
      <c r="D160" s="75"/>
      <c r="E160" s="76"/>
      <c r="F160" s="76"/>
    </row>
    <row r="161" spans="1:6" s="480" customFormat="1" ht="12.75">
      <c r="A161" s="72"/>
      <c r="B161" s="491"/>
      <c r="C161" s="491"/>
      <c r="D161" s="75"/>
      <c r="E161" s="76"/>
      <c r="F161" s="76"/>
    </row>
    <row r="162" spans="1:6" s="480" customFormat="1" ht="12.75">
      <c r="A162" s="72"/>
      <c r="B162" s="491"/>
      <c r="C162" s="491"/>
      <c r="D162" s="75"/>
      <c r="E162" s="76"/>
      <c r="F162" s="76"/>
    </row>
    <row r="163" spans="1:6" s="480" customFormat="1" ht="12.75">
      <c r="A163" s="72"/>
      <c r="B163" s="491"/>
      <c r="C163" s="491"/>
      <c r="D163" s="75"/>
      <c r="E163" s="76"/>
      <c r="F163"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G156"/>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5" t="s">
        <v>586</v>
      </c>
      <c r="G3" s="1426"/>
    </row>
    <row r="4" spans="1:7" ht="60.75" customHeight="1" thickBot="1">
      <c r="A4" s="519"/>
      <c r="B4" s="92" t="s">
        <v>19</v>
      </c>
      <c r="C4" s="11" t="s">
        <v>993</v>
      </c>
      <c r="D4" s="94"/>
      <c r="E4" s="94"/>
      <c r="F4" s="1418"/>
      <c r="G4" s="1424"/>
    </row>
    <row r="5" spans="1:7" ht="15" customHeight="1" thickBo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thickBo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A32</f>
        <v>1</v>
      </c>
      <c r="B21" s="161"/>
      <c r="C21" s="162" t="str">
        <f>C32</f>
        <v>Tepelné čerpadlo</v>
      </c>
      <c r="D21" s="164"/>
      <c r="E21" s="164"/>
      <c r="F21" s="165"/>
      <c r="G21" s="540">
        <f>G46</f>
        <v>0</v>
      </c>
    </row>
    <row r="22" spans="1:7" s="125" customFormat="1" ht="17.75" customHeight="1">
      <c r="A22" s="539" t="str">
        <f>A48</f>
        <v>2</v>
      </c>
      <c r="B22" s="161"/>
      <c r="C22" s="162" t="str">
        <f>C48</f>
        <v>Směšování topného okruhu</v>
      </c>
      <c r="D22" s="164"/>
      <c r="E22" s="164"/>
      <c r="F22" s="165"/>
      <c r="G22" s="540">
        <f>G58</f>
        <v>0</v>
      </c>
    </row>
    <row r="23" spans="1:7" s="125" customFormat="1" ht="17.75" customHeight="1">
      <c r="A23" s="539" t="str">
        <f>A60</f>
        <v>3</v>
      </c>
      <c r="B23" s="161"/>
      <c r="C23" s="162" t="str">
        <f>C60</f>
        <v>Dopouštění a úprava vody</v>
      </c>
      <c r="D23" s="164"/>
      <c r="E23" s="164"/>
      <c r="F23" s="165"/>
      <c r="G23" s="540">
        <f>G71</f>
        <v>0</v>
      </c>
    </row>
    <row r="24" spans="1:7" s="125" customFormat="1" ht="17.75" customHeight="1">
      <c r="A24" s="539" t="str">
        <f>A73</f>
        <v>4</v>
      </c>
      <c r="B24" s="161"/>
      <c r="C24" s="162" t="str">
        <f>C73</f>
        <v>Potrubní systém ostatní</v>
      </c>
      <c r="D24" s="164"/>
      <c r="E24" s="164"/>
      <c r="F24" s="165"/>
      <c r="G24" s="540">
        <f>G112</f>
        <v>0</v>
      </c>
    </row>
    <row r="25" spans="1:7" s="125" customFormat="1" ht="17.75" customHeight="1">
      <c r="A25" s="539" t="str">
        <f>A114</f>
        <v>5</v>
      </c>
      <c r="B25" s="161"/>
      <c r="C25" s="162" t="str">
        <f>C114</f>
        <v>Stavební úpravy</v>
      </c>
      <c r="D25" s="164"/>
      <c r="E25" s="164"/>
      <c r="F25" s="165"/>
      <c r="G25" s="540">
        <f>G123</f>
        <v>0</v>
      </c>
    </row>
    <row r="26" spans="1:7" s="125" customFormat="1" ht="17.75" customHeight="1">
      <c r="A26" s="539" t="str">
        <f>A125</f>
        <v>6</v>
      </c>
      <c r="B26" s="161"/>
      <c r="C26" s="162" t="str">
        <f>C125</f>
        <v>Demontáže, stěhování</v>
      </c>
      <c r="D26" s="164"/>
      <c r="E26" s="164"/>
      <c r="F26" s="165"/>
      <c r="G26" s="540">
        <f>G130</f>
        <v>0</v>
      </c>
    </row>
    <row r="27" spans="1:7" s="125" customFormat="1" ht="17.75" customHeight="1">
      <c r="A27" s="539" t="str">
        <f>A132</f>
        <v>7</v>
      </c>
      <c r="B27" s="161"/>
      <c r="C27" s="162" t="str">
        <f>C132</f>
        <v>Ostatní práce a dodávky</v>
      </c>
      <c r="D27" s="164"/>
      <c r="E27" s="164"/>
      <c r="F27" s="165"/>
      <c r="G27" s="540">
        <f>G141</f>
        <v>0</v>
      </c>
    </row>
    <row r="28" spans="1:7" ht="18" customHeight="1">
      <c r="A28" s="539" t="str">
        <f>A143</f>
        <v>A</v>
      </c>
      <c r="B28" s="161"/>
      <c r="C28" s="162" t="str">
        <f>C143</f>
        <v xml:space="preserve">Ostatní </v>
      </c>
      <c r="D28" s="164"/>
      <c r="E28" s="164"/>
      <c r="F28" s="165"/>
      <c r="G28" s="540">
        <f>G147</f>
        <v>0</v>
      </c>
    </row>
    <row r="29" spans="1:7" ht="13" thickBot="1">
      <c r="A29" s="539"/>
      <c r="B29" s="153"/>
      <c r="C29" s="167"/>
      <c r="D29" s="153"/>
      <c r="E29" s="168"/>
      <c r="F29" s="156"/>
      <c r="G29" s="540"/>
    </row>
    <row r="30" spans="1:7" ht="28.5" customHeight="1" thickBot="1">
      <c r="A30" s="541"/>
      <c r="B30" s="171"/>
      <c r="C30" s="172" t="s">
        <v>38</v>
      </c>
      <c r="D30" s="175"/>
      <c r="E30" s="174"/>
      <c r="F30" s="175"/>
      <c r="G30" s="542">
        <f>SUM(G21:G28)</f>
        <v>0</v>
      </c>
    </row>
    <row r="31" spans="1:7" ht="13" thickBot="1">
      <c r="A31" s="543"/>
      <c r="B31" s="180"/>
      <c r="C31" s="180"/>
      <c r="D31" s="180"/>
      <c r="E31" s="180"/>
      <c r="F31" s="180"/>
      <c r="G31" s="544"/>
    </row>
    <row r="32" spans="1:7" s="125" customFormat="1" ht="18" customHeight="1" thickBot="1">
      <c r="A32" s="545" t="s">
        <v>43</v>
      </c>
      <c r="B32" s="183"/>
      <c r="C32" s="184" t="s">
        <v>587</v>
      </c>
      <c r="D32" s="397"/>
      <c r="E32" s="398"/>
      <c r="F32" s="187"/>
      <c r="G32" s="546"/>
    </row>
    <row r="33" spans="1:7" s="125" customFormat="1" ht="12.75" customHeight="1">
      <c r="A33" s="547"/>
      <c r="B33" s="400"/>
      <c r="C33" s="232"/>
      <c r="D33" s="233"/>
      <c r="E33" s="401"/>
      <c r="F33" s="402"/>
      <c r="G33" s="548"/>
    </row>
    <row r="34" spans="1:7" s="499" customFormat="1" ht="106.5" customHeight="1">
      <c r="A34" s="887" t="s">
        <v>45</v>
      </c>
      <c r="B34" s="888" t="s">
        <v>836</v>
      </c>
      <c r="C34" s="889" t="s">
        <v>588</v>
      </c>
      <c r="D34" s="496" t="s">
        <v>158</v>
      </c>
      <c r="E34" s="497">
        <v>3</v>
      </c>
      <c r="F34" s="890"/>
      <c r="G34" s="891">
        <f>$E34*F34</f>
        <v>0</v>
      </c>
    </row>
    <row r="35" spans="1:7" s="499" customFormat="1" ht="20.25" customHeight="1">
      <c r="A35" s="887" t="s">
        <v>47</v>
      </c>
      <c r="B35" s="888"/>
      <c r="C35" s="892" t="s">
        <v>589</v>
      </c>
      <c r="D35" s="496" t="s">
        <v>158</v>
      </c>
      <c r="E35" s="497">
        <v>3</v>
      </c>
      <c r="F35" s="890"/>
      <c r="G35" s="891">
        <f>$E35*F35</f>
        <v>0</v>
      </c>
    </row>
    <row r="36" spans="1:7" s="499" customFormat="1" ht="20.25" customHeight="1">
      <c r="A36" s="887" t="s">
        <v>50</v>
      </c>
      <c r="B36" s="888">
        <v>10</v>
      </c>
      <c r="C36" s="892" t="s">
        <v>892</v>
      </c>
      <c r="D36" s="496" t="s">
        <v>158</v>
      </c>
      <c r="E36" s="497">
        <v>1</v>
      </c>
      <c r="F36" s="890"/>
      <c r="G36" s="891">
        <f aca="true" t="shared" si="0" ref="G36:G44">$E36*F36</f>
        <v>0</v>
      </c>
    </row>
    <row r="37" spans="1:7" s="499" customFormat="1" ht="33" customHeight="1">
      <c r="A37" s="887" t="s">
        <v>53</v>
      </c>
      <c r="B37" s="888"/>
      <c r="C37" s="893" t="s">
        <v>893</v>
      </c>
      <c r="D37" s="496" t="s">
        <v>161</v>
      </c>
      <c r="E37" s="497">
        <v>1</v>
      </c>
      <c r="F37" s="890"/>
      <c r="G37" s="891">
        <f t="shared" si="0"/>
        <v>0</v>
      </c>
    </row>
    <row r="38" spans="1:7" s="499" customFormat="1" ht="20.25" customHeight="1">
      <c r="A38" s="887" t="s">
        <v>56</v>
      </c>
      <c r="B38" s="888"/>
      <c r="C38" s="892" t="s">
        <v>590</v>
      </c>
      <c r="D38" s="496" t="s">
        <v>116</v>
      </c>
      <c r="E38" s="497">
        <v>38</v>
      </c>
      <c r="F38" s="890"/>
      <c r="G38" s="891">
        <f t="shared" si="0"/>
        <v>0</v>
      </c>
    </row>
    <row r="39" spans="1:7" s="499" customFormat="1" ht="20.25" customHeight="1">
      <c r="A39" s="887" t="s">
        <v>58</v>
      </c>
      <c r="B39" s="888">
        <v>5</v>
      </c>
      <c r="C39" s="892" t="s">
        <v>591</v>
      </c>
      <c r="D39" s="496" t="s">
        <v>158</v>
      </c>
      <c r="E39" s="497">
        <v>1</v>
      </c>
      <c r="F39" s="890"/>
      <c r="G39" s="891">
        <f t="shared" si="0"/>
        <v>0</v>
      </c>
    </row>
    <row r="40" spans="1:7" s="499" customFormat="1" ht="20.25" customHeight="1">
      <c r="A40" s="887" t="s">
        <v>61</v>
      </c>
      <c r="B40" s="888">
        <v>4</v>
      </c>
      <c r="C40" s="892" t="s">
        <v>592</v>
      </c>
      <c r="D40" s="496" t="s">
        <v>158</v>
      </c>
      <c r="E40" s="497">
        <v>1</v>
      </c>
      <c r="F40" s="890"/>
      <c r="G40" s="891">
        <f t="shared" si="0"/>
        <v>0</v>
      </c>
    </row>
    <row r="41" spans="1:7" s="499" customFormat="1" ht="20.25" customHeight="1">
      <c r="A41" s="887" t="s">
        <v>63</v>
      </c>
      <c r="B41" s="888">
        <v>4.1</v>
      </c>
      <c r="C41" s="892" t="s">
        <v>593</v>
      </c>
      <c r="D41" s="496" t="s">
        <v>158</v>
      </c>
      <c r="E41" s="497">
        <v>1</v>
      </c>
      <c r="F41" s="890"/>
      <c r="G41" s="891">
        <f t="shared" si="0"/>
        <v>0</v>
      </c>
    </row>
    <row r="42" spans="1:7" s="499" customFormat="1" ht="20.25" customHeight="1">
      <c r="A42" s="887" t="s">
        <v>64</v>
      </c>
      <c r="B42" s="888">
        <v>3</v>
      </c>
      <c r="C42" s="892" t="s">
        <v>594</v>
      </c>
      <c r="D42" s="496" t="s">
        <v>158</v>
      </c>
      <c r="E42" s="497">
        <v>1</v>
      </c>
      <c r="F42" s="890"/>
      <c r="G42" s="891">
        <f t="shared" si="0"/>
        <v>0</v>
      </c>
    </row>
    <row r="43" spans="1:7" s="499" customFormat="1" ht="20.25" customHeight="1">
      <c r="A43" s="887" t="s">
        <v>66</v>
      </c>
      <c r="B43" s="894"/>
      <c r="C43" s="892" t="s">
        <v>595</v>
      </c>
      <c r="D43" s="496" t="s">
        <v>161</v>
      </c>
      <c r="E43" s="497">
        <v>3</v>
      </c>
      <c r="F43" s="890"/>
      <c r="G43" s="891">
        <f t="shared" si="0"/>
        <v>0</v>
      </c>
    </row>
    <row r="44" spans="1:7" s="499" customFormat="1" ht="20.25" customHeight="1">
      <c r="A44" s="887" t="s">
        <v>70</v>
      </c>
      <c r="B44" s="894"/>
      <c r="C44" s="892" t="s">
        <v>596</v>
      </c>
      <c r="D44" s="496" t="s">
        <v>161</v>
      </c>
      <c r="E44" s="497">
        <v>1</v>
      </c>
      <c r="F44" s="890"/>
      <c r="G44" s="891">
        <f t="shared" si="0"/>
        <v>0</v>
      </c>
    </row>
    <row r="45" spans="1:7" ht="14" thickBot="1">
      <c r="A45" s="551"/>
      <c r="B45" s="412"/>
      <c r="C45" s="220"/>
      <c r="D45" s="221"/>
      <c r="E45" s="413"/>
      <c r="F45" s="414"/>
      <c r="G45" s="552"/>
    </row>
    <row r="46" spans="1:7" ht="19.5" customHeight="1" thickBot="1">
      <c r="A46" s="553"/>
      <c r="B46" s="226"/>
      <c r="C46" s="227" t="s">
        <v>113</v>
      </c>
      <c r="D46" s="226"/>
      <c r="E46" s="416"/>
      <c r="F46" s="417"/>
      <c r="G46" s="554">
        <f>SUBTOTAL(9,G33:G45)</f>
        <v>0</v>
      </c>
    </row>
    <row r="47" spans="1:7" ht="13" thickBot="1">
      <c r="A47" s="543"/>
      <c r="B47" s="180"/>
      <c r="C47" s="180"/>
      <c r="D47" s="180"/>
      <c r="E47" s="180"/>
      <c r="F47" s="180"/>
      <c r="G47" s="544"/>
    </row>
    <row r="48" spans="1:7" ht="17.25" customHeight="1" thickBot="1">
      <c r="A48" s="545" t="s">
        <v>100</v>
      </c>
      <c r="B48" s="183"/>
      <c r="C48" s="184" t="s">
        <v>597</v>
      </c>
      <c r="D48" s="397"/>
      <c r="E48" s="398"/>
      <c r="F48" s="187"/>
      <c r="G48" s="546"/>
    </row>
    <row r="49" spans="1:7" ht="12.75">
      <c r="A49" s="547"/>
      <c r="B49" s="400"/>
      <c r="C49" s="232"/>
      <c r="D49" s="233"/>
      <c r="E49" s="401"/>
      <c r="F49" s="402"/>
      <c r="G49" s="548"/>
    </row>
    <row r="50" spans="1:7" s="900" customFormat="1" ht="43.5" customHeight="1">
      <c r="A50" s="895" t="s">
        <v>115</v>
      </c>
      <c r="B50" s="896" t="s">
        <v>185</v>
      </c>
      <c r="C50" s="897" t="s">
        <v>598</v>
      </c>
      <c r="D50" s="898" t="s">
        <v>161</v>
      </c>
      <c r="E50" s="899">
        <v>2</v>
      </c>
      <c r="F50" s="899"/>
      <c r="G50" s="550">
        <f aca="true" t="shared" si="1" ref="G50:G56">$E50*F50</f>
        <v>0</v>
      </c>
    </row>
    <row r="51" spans="1:7" s="900" customFormat="1" ht="43.5" customHeight="1">
      <c r="A51" s="895" t="s">
        <v>117</v>
      </c>
      <c r="B51" s="896" t="s">
        <v>192</v>
      </c>
      <c r="C51" s="897" t="s">
        <v>599</v>
      </c>
      <c r="D51" s="898" t="s">
        <v>161</v>
      </c>
      <c r="E51" s="899">
        <v>1</v>
      </c>
      <c r="F51" s="899"/>
      <c r="G51" s="550">
        <f t="shared" si="1"/>
        <v>0</v>
      </c>
    </row>
    <row r="52" spans="1:7" s="900" customFormat="1" ht="19.5" customHeight="1">
      <c r="A52" s="549" t="s">
        <v>119</v>
      </c>
      <c r="B52" s="901"/>
      <c r="C52" s="897" t="s">
        <v>600</v>
      </c>
      <c r="D52" s="898" t="s">
        <v>158</v>
      </c>
      <c r="E52" s="899">
        <v>1</v>
      </c>
      <c r="F52" s="899"/>
      <c r="G52" s="550">
        <f t="shared" si="1"/>
        <v>0</v>
      </c>
    </row>
    <row r="53" spans="1:7" s="900" customFormat="1" ht="19.5" customHeight="1">
      <c r="A53" s="549" t="s">
        <v>295</v>
      </c>
      <c r="B53" s="902">
        <v>5</v>
      </c>
      <c r="C53" s="897" t="s">
        <v>601</v>
      </c>
      <c r="D53" s="898" t="s">
        <v>158</v>
      </c>
      <c r="E53" s="899">
        <v>1</v>
      </c>
      <c r="F53" s="899"/>
      <c r="G53" s="550">
        <f t="shared" si="1"/>
        <v>0</v>
      </c>
    </row>
    <row r="54" spans="1:7" s="900" customFormat="1" ht="19.5" customHeight="1">
      <c r="A54" s="549" t="s">
        <v>299</v>
      </c>
      <c r="B54" s="902">
        <v>9</v>
      </c>
      <c r="C54" s="897" t="s">
        <v>602</v>
      </c>
      <c r="D54" s="898" t="s">
        <v>161</v>
      </c>
      <c r="E54" s="899">
        <v>1</v>
      </c>
      <c r="F54" s="899"/>
      <c r="G54" s="550">
        <f t="shared" si="1"/>
        <v>0</v>
      </c>
    </row>
    <row r="55" spans="1:7" s="900" customFormat="1" ht="30.75" customHeight="1">
      <c r="A55" s="549" t="s">
        <v>301</v>
      </c>
      <c r="B55" s="902">
        <v>8</v>
      </c>
      <c r="C55" s="897" t="s">
        <v>603</v>
      </c>
      <c r="D55" s="898" t="s">
        <v>161</v>
      </c>
      <c r="E55" s="899">
        <v>1</v>
      </c>
      <c r="F55" s="899"/>
      <c r="G55" s="550">
        <f t="shared" si="1"/>
        <v>0</v>
      </c>
    </row>
    <row r="56" spans="1:7" s="900" customFormat="1" ht="19.5" customHeight="1">
      <c r="A56" s="549" t="s">
        <v>304</v>
      </c>
      <c r="B56" s="501"/>
      <c r="C56" s="897" t="s">
        <v>895</v>
      </c>
      <c r="D56" s="898" t="s">
        <v>161</v>
      </c>
      <c r="E56" s="899">
        <v>3</v>
      </c>
      <c r="F56" s="899"/>
      <c r="G56" s="550">
        <f t="shared" si="1"/>
        <v>0</v>
      </c>
    </row>
    <row r="57" spans="1:7" ht="14" thickBot="1">
      <c r="A57" s="551"/>
      <c r="B57" s="412"/>
      <c r="C57" s="220"/>
      <c r="D57" s="221"/>
      <c r="E57" s="413"/>
      <c r="F57" s="414"/>
      <c r="G57" s="552"/>
    </row>
    <row r="58" spans="1:7" ht="13" thickBot="1">
      <c r="A58" s="553"/>
      <c r="B58" s="226"/>
      <c r="C58" s="227" t="s">
        <v>113</v>
      </c>
      <c r="D58" s="226"/>
      <c r="E58" s="416"/>
      <c r="F58" s="417"/>
      <c r="G58" s="554">
        <f>SUBTOTAL(9,G49:G57)</f>
        <v>0</v>
      </c>
    </row>
    <row r="59" spans="1:7" ht="13" thickBot="1">
      <c r="A59" s="543"/>
      <c r="B59" s="180"/>
      <c r="C59" s="180"/>
      <c r="D59" s="180"/>
      <c r="E59" s="180"/>
      <c r="F59" s="180"/>
      <c r="G59" s="544"/>
    </row>
    <row r="60" spans="1:7" ht="17.25" customHeight="1" thickBot="1">
      <c r="A60" s="545" t="s">
        <v>121</v>
      </c>
      <c r="B60" s="183"/>
      <c r="C60" s="184" t="s">
        <v>604</v>
      </c>
      <c r="D60" s="397"/>
      <c r="E60" s="398"/>
      <c r="F60" s="187"/>
      <c r="G60" s="546"/>
    </row>
    <row r="61" spans="1:7" ht="12.75">
      <c r="A61" s="547"/>
      <c r="B61" s="400"/>
      <c r="C61" s="232"/>
      <c r="D61" s="233"/>
      <c r="E61" s="401"/>
      <c r="F61" s="402"/>
      <c r="G61" s="548"/>
    </row>
    <row r="62" spans="1:7" s="505" customFormat="1" ht="12.75">
      <c r="A62" s="549" t="s">
        <v>123</v>
      </c>
      <c r="B62" s="501"/>
      <c r="C62" s="502" t="s">
        <v>605</v>
      </c>
      <c r="D62" s="503" t="s">
        <v>158</v>
      </c>
      <c r="E62" s="504">
        <v>1</v>
      </c>
      <c r="F62" s="504"/>
      <c r="G62" s="550">
        <f aca="true" t="shared" si="2" ref="G62:G69">$E62*F62</f>
        <v>0</v>
      </c>
    </row>
    <row r="63" spans="1:7" s="505" customFormat="1" ht="12.75">
      <c r="A63" s="549" t="s">
        <v>124</v>
      </c>
      <c r="B63" s="501"/>
      <c r="C63" s="502" t="s">
        <v>606</v>
      </c>
      <c r="D63" s="503" t="s">
        <v>158</v>
      </c>
      <c r="E63" s="504">
        <v>1</v>
      </c>
      <c r="F63" s="504"/>
      <c r="G63" s="550">
        <f t="shared" si="2"/>
        <v>0</v>
      </c>
    </row>
    <row r="64" spans="1:7" s="505" customFormat="1" ht="12.75">
      <c r="A64" s="549" t="s">
        <v>125</v>
      </c>
      <c r="B64" s="501"/>
      <c r="C64" s="502" t="s">
        <v>607</v>
      </c>
      <c r="D64" s="503" t="s">
        <v>158</v>
      </c>
      <c r="E64" s="504">
        <v>1</v>
      </c>
      <c r="F64" s="504"/>
      <c r="G64" s="550">
        <f t="shared" si="2"/>
        <v>0</v>
      </c>
    </row>
    <row r="65" spans="1:7" s="505" customFormat="1" ht="12.75">
      <c r="A65" s="549" t="s">
        <v>126</v>
      </c>
      <c r="B65" s="501"/>
      <c r="C65" s="502" t="s">
        <v>608</v>
      </c>
      <c r="D65" s="503" t="s">
        <v>158</v>
      </c>
      <c r="E65" s="504">
        <v>1</v>
      </c>
      <c r="F65" s="504"/>
      <c r="G65" s="550">
        <f t="shared" si="2"/>
        <v>0</v>
      </c>
    </row>
    <row r="66" spans="1:7" s="505" customFormat="1" ht="12.75">
      <c r="A66" s="549" t="s">
        <v>127</v>
      </c>
      <c r="B66" s="501"/>
      <c r="C66" s="502" t="s">
        <v>609</v>
      </c>
      <c r="D66" s="503" t="s">
        <v>158</v>
      </c>
      <c r="E66" s="504">
        <v>1</v>
      </c>
      <c r="F66" s="504"/>
      <c r="G66" s="550">
        <f t="shared" si="2"/>
        <v>0</v>
      </c>
    </row>
    <row r="67" spans="1:7" s="505" customFormat="1" ht="12.75">
      <c r="A67" s="549" t="s">
        <v>128</v>
      </c>
      <c r="B67" s="501"/>
      <c r="C67" s="502" t="s">
        <v>610</v>
      </c>
      <c r="D67" s="503" t="s">
        <v>158</v>
      </c>
      <c r="E67" s="504">
        <v>1</v>
      </c>
      <c r="F67" s="504"/>
      <c r="G67" s="550">
        <f t="shared" si="2"/>
        <v>0</v>
      </c>
    </row>
    <row r="68" spans="1:7" s="505" customFormat="1" ht="12.75">
      <c r="A68" s="549" t="s">
        <v>129</v>
      </c>
      <c r="B68" s="501"/>
      <c r="C68" s="502" t="s">
        <v>611</v>
      </c>
      <c r="D68" s="503" t="s">
        <v>158</v>
      </c>
      <c r="E68" s="504">
        <v>1</v>
      </c>
      <c r="F68" s="504"/>
      <c r="G68" s="550">
        <f t="shared" si="2"/>
        <v>0</v>
      </c>
    </row>
    <row r="69" spans="1:7" s="505" customFormat="1" ht="12.75">
      <c r="A69" s="549" t="s">
        <v>130</v>
      </c>
      <c r="B69" s="501"/>
      <c r="C69" s="502" t="s">
        <v>896</v>
      </c>
      <c r="D69" s="503" t="s">
        <v>161</v>
      </c>
      <c r="E69" s="504">
        <v>1</v>
      </c>
      <c r="F69" s="504"/>
      <c r="G69" s="550">
        <f t="shared" si="2"/>
        <v>0</v>
      </c>
    </row>
    <row r="70" spans="1:7" s="204" customFormat="1" ht="14" thickBot="1">
      <c r="A70" s="557"/>
      <c r="B70" s="412"/>
      <c r="C70" s="220"/>
      <c r="D70" s="221"/>
      <c r="E70" s="414"/>
      <c r="F70" s="414"/>
      <c r="G70" s="558"/>
    </row>
    <row r="71" spans="1:7" ht="13" thickBot="1">
      <c r="A71" s="553"/>
      <c r="B71" s="226"/>
      <c r="C71" s="227" t="s">
        <v>113</v>
      </c>
      <c r="D71" s="226"/>
      <c r="E71" s="416"/>
      <c r="F71" s="417"/>
      <c r="G71" s="554">
        <f>SUBTOTAL(9,G61:G70)</f>
        <v>0</v>
      </c>
    </row>
    <row r="72" spans="1:7" ht="13" thickBot="1">
      <c r="A72" s="543"/>
      <c r="B72" s="180"/>
      <c r="C72" s="180"/>
      <c r="D72" s="180"/>
      <c r="E72" s="180"/>
      <c r="F72" s="180"/>
      <c r="G72" s="544"/>
    </row>
    <row r="73" spans="1:7" ht="17.25" customHeight="1" thickBot="1">
      <c r="A73" s="545" t="s">
        <v>98</v>
      </c>
      <c r="B73" s="183"/>
      <c r="C73" s="184" t="s">
        <v>612</v>
      </c>
      <c r="D73" s="397"/>
      <c r="E73" s="398"/>
      <c r="F73" s="187"/>
      <c r="G73" s="546"/>
    </row>
    <row r="74" spans="1:7" ht="12.75">
      <c r="A74" s="547"/>
      <c r="B74" s="400"/>
      <c r="C74" s="232"/>
      <c r="D74" s="233"/>
      <c r="E74" s="401"/>
      <c r="F74" s="402"/>
      <c r="G74" s="548"/>
    </row>
    <row r="75" spans="1:7" s="505" customFormat="1" ht="18" customHeight="1">
      <c r="A75" s="549" t="s">
        <v>156</v>
      </c>
      <c r="B75" s="501"/>
      <c r="C75" s="502" t="s">
        <v>613</v>
      </c>
      <c r="D75" s="503" t="s">
        <v>158</v>
      </c>
      <c r="E75" s="504">
        <v>4</v>
      </c>
      <c r="F75" s="504"/>
      <c r="G75" s="550">
        <f aca="true" t="shared" si="3" ref="G75:G110">$E75*F75</f>
        <v>0</v>
      </c>
    </row>
    <row r="76" spans="1:7" s="505" customFormat="1" ht="18" customHeight="1">
      <c r="A76" s="549" t="s">
        <v>159</v>
      </c>
      <c r="B76" s="501"/>
      <c r="C76" s="502" t="s">
        <v>614</v>
      </c>
      <c r="D76" s="503" t="s">
        <v>158</v>
      </c>
      <c r="E76" s="504">
        <v>1</v>
      </c>
      <c r="F76" s="504"/>
      <c r="G76" s="550">
        <f t="shared" si="3"/>
        <v>0</v>
      </c>
    </row>
    <row r="77" spans="1:7" s="505" customFormat="1" ht="18" customHeight="1">
      <c r="A77" s="549" t="s">
        <v>162</v>
      </c>
      <c r="B77" s="501"/>
      <c r="C77" s="502" t="s">
        <v>615</v>
      </c>
      <c r="D77" s="503" t="s">
        <v>158</v>
      </c>
      <c r="E77" s="504">
        <v>8</v>
      </c>
      <c r="F77" s="504"/>
      <c r="G77" s="550">
        <f t="shared" si="3"/>
        <v>0</v>
      </c>
    </row>
    <row r="78" spans="1:7" s="505" customFormat="1" ht="18" customHeight="1">
      <c r="A78" s="549" t="s">
        <v>164</v>
      </c>
      <c r="B78" s="501"/>
      <c r="C78" s="502" t="s">
        <v>616</v>
      </c>
      <c r="D78" s="503" t="s">
        <v>158</v>
      </c>
      <c r="E78" s="504">
        <v>20</v>
      </c>
      <c r="F78" s="504"/>
      <c r="G78" s="550">
        <f t="shared" si="3"/>
        <v>0</v>
      </c>
    </row>
    <row r="79" spans="1:7" s="505" customFormat="1" ht="18" customHeight="1">
      <c r="A79" s="549" t="s">
        <v>363</v>
      </c>
      <c r="B79" s="501"/>
      <c r="C79" s="502" t="s">
        <v>617</v>
      </c>
      <c r="D79" s="503" t="s">
        <v>158</v>
      </c>
      <c r="E79" s="504">
        <v>6</v>
      </c>
      <c r="F79" s="504"/>
      <c r="G79" s="550">
        <f t="shared" si="3"/>
        <v>0</v>
      </c>
    </row>
    <row r="80" spans="1:7" s="505" customFormat="1" ht="18" customHeight="1">
      <c r="A80" s="549" t="s">
        <v>364</v>
      </c>
      <c r="B80" s="501"/>
      <c r="C80" s="502" t="s">
        <v>618</v>
      </c>
      <c r="D80" s="503" t="s">
        <v>158</v>
      </c>
      <c r="E80" s="504">
        <v>6</v>
      </c>
      <c r="F80" s="504"/>
      <c r="G80" s="550">
        <f t="shared" si="3"/>
        <v>0</v>
      </c>
    </row>
    <row r="81" spans="1:7" s="505" customFormat="1" ht="18" customHeight="1">
      <c r="A81" s="549" t="s">
        <v>365</v>
      </c>
      <c r="B81" s="501"/>
      <c r="C81" s="502" t="s">
        <v>619</v>
      </c>
      <c r="D81" s="503" t="s">
        <v>158</v>
      </c>
      <c r="E81" s="504">
        <v>3</v>
      </c>
      <c r="F81" s="504"/>
      <c r="G81" s="550">
        <f t="shared" si="3"/>
        <v>0</v>
      </c>
    </row>
    <row r="82" spans="1:7" s="505" customFormat="1" ht="18" customHeight="1">
      <c r="A82" s="549" t="s">
        <v>366</v>
      </c>
      <c r="B82" s="501"/>
      <c r="C82" s="502" t="s">
        <v>620</v>
      </c>
      <c r="D82" s="503" t="s">
        <v>158</v>
      </c>
      <c r="E82" s="504">
        <v>6</v>
      </c>
      <c r="F82" s="504"/>
      <c r="G82" s="550">
        <f t="shared" si="3"/>
        <v>0</v>
      </c>
    </row>
    <row r="83" spans="1:7" s="505" customFormat="1" ht="18" customHeight="1">
      <c r="A83" s="549" t="s">
        <v>367</v>
      </c>
      <c r="B83" s="501"/>
      <c r="C83" s="502" t="s">
        <v>621</v>
      </c>
      <c r="D83" s="503" t="s">
        <v>158</v>
      </c>
      <c r="E83" s="504">
        <v>2</v>
      </c>
      <c r="F83" s="504"/>
      <c r="G83" s="550">
        <f t="shared" si="3"/>
        <v>0</v>
      </c>
    </row>
    <row r="84" spans="1:7" s="505" customFormat="1" ht="18" customHeight="1">
      <c r="A84" s="549" t="s">
        <v>493</v>
      </c>
      <c r="B84" s="501"/>
      <c r="C84" s="502" t="s">
        <v>622</v>
      </c>
      <c r="D84" s="503" t="s">
        <v>158</v>
      </c>
      <c r="E84" s="504">
        <v>2</v>
      </c>
      <c r="F84" s="504"/>
      <c r="G84" s="550">
        <f t="shared" si="3"/>
        <v>0</v>
      </c>
    </row>
    <row r="85" spans="1:7" s="505" customFormat="1" ht="18" customHeight="1">
      <c r="A85" s="549" t="s">
        <v>494</v>
      </c>
      <c r="B85" s="501"/>
      <c r="C85" s="502" t="s">
        <v>623</v>
      </c>
      <c r="D85" s="503" t="s">
        <v>158</v>
      </c>
      <c r="E85" s="504">
        <v>3</v>
      </c>
      <c r="F85" s="504"/>
      <c r="G85" s="550">
        <f t="shared" si="3"/>
        <v>0</v>
      </c>
    </row>
    <row r="86" spans="1:7" s="505" customFormat="1" ht="18" customHeight="1">
      <c r="A86" s="549" t="s">
        <v>495</v>
      </c>
      <c r="B86" s="501"/>
      <c r="C86" s="502" t="s">
        <v>624</v>
      </c>
      <c r="D86" s="503" t="s">
        <v>158</v>
      </c>
      <c r="E86" s="504">
        <v>4</v>
      </c>
      <c r="F86" s="504"/>
      <c r="G86" s="550">
        <f t="shared" si="3"/>
        <v>0</v>
      </c>
    </row>
    <row r="87" spans="1:7" s="505" customFormat="1" ht="18" customHeight="1">
      <c r="A87" s="549" t="s">
        <v>496</v>
      </c>
      <c r="B87" s="501"/>
      <c r="C87" s="502" t="s">
        <v>625</v>
      </c>
      <c r="D87" s="503" t="s">
        <v>158</v>
      </c>
      <c r="E87" s="504">
        <v>12</v>
      </c>
      <c r="F87" s="504"/>
      <c r="G87" s="550">
        <f t="shared" si="3"/>
        <v>0</v>
      </c>
    </row>
    <row r="88" spans="1:7" s="505" customFormat="1" ht="18" customHeight="1">
      <c r="A88" s="549" t="s">
        <v>497</v>
      </c>
      <c r="B88" s="501"/>
      <c r="C88" s="502" t="s">
        <v>626</v>
      </c>
      <c r="D88" s="503" t="s">
        <v>158</v>
      </c>
      <c r="E88" s="504">
        <v>18</v>
      </c>
      <c r="F88" s="504"/>
      <c r="G88" s="550">
        <f t="shared" si="3"/>
        <v>0</v>
      </c>
    </row>
    <row r="89" spans="1:7" s="505" customFormat="1" ht="18" customHeight="1">
      <c r="A89" s="549" t="s">
        <v>498</v>
      </c>
      <c r="B89" s="501"/>
      <c r="C89" s="502" t="s">
        <v>627</v>
      </c>
      <c r="D89" s="503" t="s">
        <v>158</v>
      </c>
      <c r="E89" s="504">
        <v>4</v>
      </c>
      <c r="F89" s="504"/>
      <c r="G89" s="550">
        <f t="shared" si="3"/>
        <v>0</v>
      </c>
    </row>
    <row r="90" spans="1:7" s="505" customFormat="1" ht="18" customHeight="1">
      <c r="A90" s="549" t="s">
        <v>499</v>
      </c>
      <c r="B90" s="501"/>
      <c r="C90" s="502" t="s">
        <v>628</v>
      </c>
      <c r="D90" s="503" t="s">
        <v>158</v>
      </c>
      <c r="E90" s="504">
        <v>10</v>
      </c>
      <c r="F90" s="504"/>
      <c r="G90" s="550">
        <f t="shared" si="3"/>
        <v>0</v>
      </c>
    </row>
    <row r="91" spans="1:7" s="505" customFormat="1" ht="18" customHeight="1">
      <c r="A91" s="549" t="s">
        <v>500</v>
      </c>
      <c r="B91" s="501"/>
      <c r="C91" s="502" t="s">
        <v>629</v>
      </c>
      <c r="D91" s="503" t="s">
        <v>158</v>
      </c>
      <c r="E91" s="504">
        <v>15</v>
      </c>
      <c r="F91" s="504"/>
      <c r="G91" s="550">
        <f t="shared" si="3"/>
        <v>0</v>
      </c>
    </row>
    <row r="92" spans="1:7" s="505" customFormat="1" ht="18" customHeight="1">
      <c r="A92" s="549" t="s">
        <v>501</v>
      </c>
      <c r="B92" s="501"/>
      <c r="C92" s="502" t="s">
        <v>630</v>
      </c>
      <c r="D92" s="503" t="s">
        <v>158</v>
      </c>
      <c r="E92" s="504">
        <v>21</v>
      </c>
      <c r="F92" s="504"/>
      <c r="G92" s="550">
        <f t="shared" si="3"/>
        <v>0</v>
      </c>
    </row>
    <row r="93" spans="1:7" s="505" customFormat="1" ht="18" customHeight="1">
      <c r="A93" s="549" t="s">
        <v>655</v>
      </c>
      <c r="B93" s="501"/>
      <c r="C93" s="502" t="s">
        <v>631</v>
      </c>
      <c r="D93" s="503" t="s">
        <v>158</v>
      </c>
      <c r="E93" s="504">
        <v>28</v>
      </c>
      <c r="F93" s="504"/>
      <c r="G93" s="550">
        <f t="shared" si="3"/>
        <v>0</v>
      </c>
    </row>
    <row r="94" spans="1:7" s="505" customFormat="1" ht="18" customHeight="1">
      <c r="A94" s="549" t="s">
        <v>656</v>
      </c>
      <c r="B94" s="501"/>
      <c r="C94" s="502" t="s">
        <v>632</v>
      </c>
      <c r="D94" s="503" t="s">
        <v>158</v>
      </c>
      <c r="E94" s="504">
        <v>10</v>
      </c>
      <c r="F94" s="504"/>
      <c r="G94" s="550">
        <f t="shared" si="3"/>
        <v>0</v>
      </c>
    </row>
    <row r="95" spans="1:7" s="505" customFormat="1" ht="18" customHeight="1">
      <c r="A95" s="549" t="s">
        <v>657</v>
      </c>
      <c r="B95" s="501"/>
      <c r="C95" s="502" t="s">
        <v>633</v>
      </c>
      <c r="D95" s="503" t="s">
        <v>158</v>
      </c>
      <c r="E95" s="504">
        <v>10</v>
      </c>
      <c r="F95" s="504"/>
      <c r="G95" s="550">
        <f t="shared" si="3"/>
        <v>0</v>
      </c>
    </row>
    <row r="96" spans="1:7" s="505" customFormat="1" ht="18" customHeight="1">
      <c r="A96" s="549" t="s">
        <v>658</v>
      </c>
      <c r="B96" s="501"/>
      <c r="C96" s="502" t="s">
        <v>634</v>
      </c>
      <c r="D96" s="503" t="s">
        <v>116</v>
      </c>
      <c r="E96" s="504">
        <v>18</v>
      </c>
      <c r="F96" s="504"/>
      <c r="G96" s="550">
        <f t="shared" si="3"/>
        <v>0</v>
      </c>
    </row>
    <row r="97" spans="1:7" s="505" customFormat="1" ht="18" customHeight="1">
      <c r="A97" s="549" t="s">
        <v>659</v>
      </c>
      <c r="B97" s="501"/>
      <c r="C97" s="502" t="s">
        <v>635</v>
      </c>
      <c r="D97" s="503" t="s">
        <v>116</v>
      </c>
      <c r="E97" s="504">
        <v>34</v>
      </c>
      <c r="F97" s="504"/>
      <c r="G97" s="550">
        <f t="shared" si="3"/>
        <v>0</v>
      </c>
    </row>
    <row r="98" spans="1:7" s="505" customFormat="1" ht="18" customHeight="1">
      <c r="A98" s="549" t="s">
        <v>660</v>
      </c>
      <c r="B98" s="501"/>
      <c r="C98" s="502" t="s">
        <v>636</v>
      </c>
      <c r="D98" s="503" t="s">
        <v>116</v>
      </c>
      <c r="E98" s="504">
        <v>36</v>
      </c>
      <c r="F98" s="504"/>
      <c r="G98" s="550">
        <f t="shared" si="3"/>
        <v>0</v>
      </c>
    </row>
    <row r="99" spans="1:7" s="505" customFormat="1" ht="18" customHeight="1">
      <c r="A99" s="549" t="s">
        <v>661</v>
      </c>
      <c r="B99" s="501"/>
      <c r="C99" s="502" t="s">
        <v>637</v>
      </c>
      <c r="D99" s="503" t="s">
        <v>116</v>
      </c>
      <c r="E99" s="504">
        <v>25</v>
      </c>
      <c r="F99" s="504"/>
      <c r="G99" s="550">
        <f t="shared" si="3"/>
        <v>0</v>
      </c>
    </row>
    <row r="100" spans="1:7" s="505" customFormat="1" ht="18" customHeight="1">
      <c r="A100" s="549" t="s">
        <v>662</v>
      </c>
      <c r="B100" s="501"/>
      <c r="C100" s="502" t="s">
        <v>638</v>
      </c>
      <c r="D100" s="503" t="s">
        <v>161</v>
      </c>
      <c r="E100" s="504">
        <v>1</v>
      </c>
      <c r="F100" s="504"/>
      <c r="G100" s="550">
        <f t="shared" si="3"/>
        <v>0</v>
      </c>
    </row>
    <row r="101" spans="1:7" s="505" customFormat="1" ht="18" customHeight="1">
      <c r="A101" s="549" t="s">
        <v>663</v>
      </c>
      <c r="B101" s="501"/>
      <c r="C101" s="502" t="s">
        <v>639</v>
      </c>
      <c r="D101" s="503" t="s">
        <v>161</v>
      </c>
      <c r="E101" s="504">
        <v>1</v>
      </c>
      <c r="F101" s="504"/>
      <c r="G101" s="550">
        <f t="shared" si="3"/>
        <v>0</v>
      </c>
    </row>
    <row r="102" spans="1:7" s="505" customFormat="1" ht="18" customHeight="1">
      <c r="A102" s="549" t="s">
        <v>664</v>
      </c>
      <c r="B102" s="501"/>
      <c r="C102" s="502" t="s">
        <v>640</v>
      </c>
      <c r="D102" s="503" t="s">
        <v>116</v>
      </c>
      <c r="E102" s="504">
        <v>113</v>
      </c>
      <c r="F102" s="504"/>
      <c r="G102" s="550">
        <f t="shared" si="3"/>
        <v>0</v>
      </c>
    </row>
    <row r="103" spans="1:7" s="505" customFormat="1" ht="18" customHeight="1">
      <c r="A103" s="549" t="s">
        <v>665</v>
      </c>
      <c r="B103" s="501"/>
      <c r="C103" s="502" t="s">
        <v>641</v>
      </c>
      <c r="D103" s="503" t="s">
        <v>116</v>
      </c>
      <c r="E103" s="504">
        <v>18</v>
      </c>
      <c r="F103" s="504"/>
      <c r="G103" s="550">
        <f t="shared" si="3"/>
        <v>0</v>
      </c>
    </row>
    <row r="104" spans="1:7" s="505" customFormat="1" ht="18" customHeight="1">
      <c r="A104" s="549" t="s">
        <v>666</v>
      </c>
      <c r="B104" s="501"/>
      <c r="C104" s="502" t="s">
        <v>642</v>
      </c>
      <c r="D104" s="503" t="s">
        <v>116</v>
      </c>
      <c r="E104" s="504">
        <v>34</v>
      </c>
      <c r="F104" s="504"/>
      <c r="G104" s="550">
        <f t="shared" si="3"/>
        <v>0</v>
      </c>
    </row>
    <row r="105" spans="1:7" s="505" customFormat="1" ht="18" customHeight="1">
      <c r="A105" s="549" t="s">
        <v>667</v>
      </c>
      <c r="B105" s="501"/>
      <c r="C105" s="502" t="s">
        <v>643</v>
      </c>
      <c r="D105" s="503" t="s">
        <v>116</v>
      </c>
      <c r="E105" s="504">
        <v>16</v>
      </c>
      <c r="F105" s="504"/>
      <c r="G105" s="550">
        <f t="shared" si="3"/>
        <v>0</v>
      </c>
    </row>
    <row r="106" spans="1:7" s="505" customFormat="1" ht="18" customHeight="1">
      <c r="A106" s="549" t="s">
        <v>668</v>
      </c>
      <c r="B106" s="501"/>
      <c r="C106" s="502" t="s">
        <v>644</v>
      </c>
      <c r="D106" s="503" t="s">
        <v>116</v>
      </c>
      <c r="E106" s="504">
        <v>25</v>
      </c>
      <c r="F106" s="504"/>
      <c r="G106" s="550">
        <f t="shared" si="3"/>
        <v>0</v>
      </c>
    </row>
    <row r="107" spans="1:7" s="505" customFormat="1" ht="18" customHeight="1">
      <c r="A107" s="549" t="s">
        <v>669</v>
      </c>
      <c r="B107" s="501"/>
      <c r="C107" s="502" t="s">
        <v>645</v>
      </c>
      <c r="D107" s="503" t="s">
        <v>116</v>
      </c>
      <c r="E107" s="504">
        <v>20</v>
      </c>
      <c r="F107" s="504"/>
      <c r="G107" s="550">
        <f t="shared" si="3"/>
        <v>0</v>
      </c>
    </row>
    <row r="108" spans="1:7" s="505" customFormat="1" ht="18" customHeight="1">
      <c r="A108" s="549" t="s">
        <v>670</v>
      </c>
      <c r="B108" s="501"/>
      <c r="C108" s="502" t="s">
        <v>646</v>
      </c>
      <c r="D108" s="503" t="s">
        <v>647</v>
      </c>
      <c r="E108" s="504">
        <v>1</v>
      </c>
      <c r="F108" s="504"/>
      <c r="G108" s="550">
        <f t="shared" si="3"/>
        <v>0</v>
      </c>
    </row>
    <row r="109" spans="1:7" s="505" customFormat="1" ht="12.75">
      <c r="A109" s="549"/>
      <c r="B109" s="501"/>
      <c r="C109" s="502"/>
      <c r="D109" s="503"/>
      <c r="E109" s="504"/>
      <c r="F109" s="504"/>
      <c r="G109" s="550"/>
    </row>
    <row r="110" spans="1:7" s="505" customFormat="1" ht="18" customHeight="1">
      <c r="A110" s="549" t="s">
        <v>671</v>
      </c>
      <c r="B110" s="501"/>
      <c r="C110" s="502" t="s">
        <v>897</v>
      </c>
      <c r="D110" s="503" t="s">
        <v>648</v>
      </c>
      <c r="E110" s="504">
        <v>250</v>
      </c>
      <c r="F110" s="504"/>
      <c r="G110" s="550">
        <f t="shared" si="3"/>
        <v>0</v>
      </c>
    </row>
    <row r="111" spans="1:7" s="204" customFormat="1" ht="14" thickBot="1">
      <c r="A111" s="557"/>
      <c r="B111" s="412"/>
      <c r="C111" s="220"/>
      <c r="D111" s="221"/>
      <c r="E111" s="414"/>
      <c r="F111" s="414"/>
      <c r="G111" s="558"/>
    </row>
    <row r="112" spans="1:7" ht="13" thickBot="1">
      <c r="A112" s="553"/>
      <c r="B112" s="226"/>
      <c r="C112" s="227" t="s">
        <v>113</v>
      </c>
      <c r="D112" s="226"/>
      <c r="E112" s="416"/>
      <c r="F112" s="417"/>
      <c r="G112" s="554">
        <f>SUBTOTAL(9,G74:G111)</f>
        <v>0</v>
      </c>
    </row>
    <row r="113" spans="1:7" ht="13" thickBot="1">
      <c r="A113" s="543"/>
      <c r="B113" s="180"/>
      <c r="C113" s="180"/>
      <c r="D113" s="180"/>
      <c r="E113" s="180"/>
      <c r="F113" s="180"/>
      <c r="G113" s="544"/>
    </row>
    <row r="114" spans="1:7" ht="17.25" customHeight="1" thickBot="1">
      <c r="A114" s="545" t="s">
        <v>166</v>
      </c>
      <c r="B114" s="183"/>
      <c r="C114" s="184" t="s">
        <v>649</v>
      </c>
      <c r="D114" s="397"/>
      <c r="E114" s="398"/>
      <c r="F114" s="187"/>
      <c r="G114" s="546"/>
    </row>
    <row r="115" spans="1:7" ht="12.75">
      <c r="A115" s="547"/>
      <c r="B115" s="400"/>
      <c r="C115" s="232"/>
      <c r="D115" s="233"/>
      <c r="E115" s="401"/>
      <c r="F115" s="402"/>
      <c r="G115" s="548"/>
    </row>
    <row r="116" spans="1:7" s="505" customFormat="1" ht="48" customHeight="1">
      <c r="A116" s="549" t="s">
        <v>168</v>
      </c>
      <c r="B116" s="501"/>
      <c r="C116" s="502" t="s">
        <v>650</v>
      </c>
      <c r="D116" s="503" t="s">
        <v>161</v>
      </c>
      <c r="E116" s="504">
        <v>1</v>
      </c>
      <c r="F116" s="504"/>
      <c r="G116" s="550">
        <f aca="true" t="shared" si="4" ref="G116:G121">$E116*F116</f>
        <v>0</v>
      </c>
    </row>
    <row r="117" spans="1:7" s="505" customFormat="1" ht="27" customHeight="1">
      <c r="A117" s="549" t="s">
        <v>268</v>
      </c>
      <c r="B117" s="501"/>
      <c r="C117" s="502" t="s">
        <v>651</v>
      </c>
      <c r="D117" s="503" t="s">
        <v>161</v>
      </c>
      <c r="E117" s="504">
        <v>1</v>
      </c>
      <c r="F117" s="504"/>
      <c r="G117" s="550">
        <f t="shared" si="4"/>
        <v>0</v>
      </c>
    </row>
    <row r="118" spans="1:7" s="505" customFormat="1" ht="65.25" customHeight="1">
      <c r="A118" s="549" t="s">
        <v>269</v>
      </c>
      <c r="B118" s="509" t="s">
        <v>835</v>
      </c>
      <c r="C118" s="502" t="s">
        <v>2178</v>
      </c>
      <c r="D118" s="503" t="s">
        <v>161</v>
      </c>
      <c r="E118" s="504">
        <v>1</v>
      </c>
      <c r="F118" s="504"/>
      <c r="G118" s="550">
        <f t="shared" si="4"/>
        <v>0</v>
      </c>
    </row>
    <row r="119" spans="1:7" s="505" customFormat="1" ht="32.25" customHeight="1">
      <c r="A119" s="549" t="s">
        <v>329</v>
      </c>
      <c r="B119" s="509" t="s">
        <v>837</v>
      </c>
      <c r="C119" s="502" t="s">
        <v>652</v>
      </c>
      <c r="D119" s="503" t="s">
        <v>161</v>
      </c>
      <c r="E119" s="504">
        <v>1</v>
      </c>
      <c r="F119" s="504"/>
      <c r="G119" s="550">
        <f t="shared" si="4"/>
        <v>0</v>
      </c>
    </row>
    <row r="120" spans="1:7" s="505" customFormat="1" ht="21.75" customHeight="1">
      <c r="A120" s="549" t="s">
        <v>330</v>
      </c>
      <c r="B120" s="509" t="s">
        <v>838</v>
      </c>
      <c r="C120" s="502" t="s">
        <v>653</v>
      </c>
      <c r="D120" s="503" t="s">
        <v>161</v>
      </c>
      <c r="E120" s="504">
        <v>3</v>
      </c>
      <c r="F120" s="504"/>
      <c r="G120" s="550">
        <f t="shared" si="4"/>
        <v>0</v>
      </c>
    </row>
    <row r="121" spans="1:7" s="505" customFormat="1" ht="12.75">
      <c r="A121" s="549" t="s">
        <v>331</v>
      </c>
      <c r="B121" s="509" t="s">
        <v>839</v>
      </c>
      <c r="C121" s="502" t="s">
        <v>654</v>
      </c>
      <c r="D121" s="503" t="s">
        <v>161</v>
      </c>
      <c r="E121" s="504">
        <v>6</v>
      </c>
      <c r="F121" s="504"/>
      <c r="G121" s="550">
        <f t="shared" si="4"/>
        <v>0</v>
      </c>
    </row>
    <row r="122" spans="1:7" s="204" customFormat="1" ht="14" thickBot="1">
      <c r="A122" s="557"/>
      <c r="B122" s="412"/>
      <c r="C122" s="220"/>
      <c r="D122" s="221"/>
      <c r="E122" s="414"/>
      <c r="F122" s="414"/>
      <c r="G122" s="558"/>
    </row>
    <row r="123" spans="1:7" ht="13" thickBot="1">
      <c r="A123" s="553"/>
      <c r="B123" s="226"/>
      <c r="C123" s="227" t="s">
        <v>113</v>
      </c>
      <c r="D123" s="226"/>
      <c r="E123" s="416"/>
      <c r="F123" s="417"/>
      <c r="G123" s="554">
        <f>SUBTOTAL(9,G115:G122)</f>
        <v>0</v>
      </c>
    </row>
    <row r="124" spans="1:7" ht="13" thickBot="1">
      <c r="A124" s="543"/>
      <c r="B124" s="180"/>
      <c r="C124" s="180"/>
      <c r="D124" s="180"/>
      <c r="E124" s="180"/>
      <c r="F124" s="180"/>
      <c r="G124" s="544"/>
    </row>
    <row r="125" spans="1:7" ht="17.25" customHeight="1" thickBot="1">
      <c r="A125" s="545" t="s">
        <v>170</v>
      </c>
      <c r="B125" s="183"/>
      <c r="C125" s="184" t="s">
        <v>672</v>
      </c>
      <c r="D125" s="397"/>
      <c r="E125" s="398"/>
      <c r="F125" s="187"/>
      <c r="G125" s="546"/>
    </row>
    <row r="126" spans="1:7" ht="12.75">
      <c r="A126" s="547"/>
      <c r="B126" s="400"/>
      <c r="C126" s="232"/>
      <c r="D126" s="233"/>
      <c r="E126" s="401"/>
      <c r="F126" s="402"/>
      <c r="G126" s="548"/>
    </row>
    <row r="127" spans="1:7" s="505" customFormat="1" ht="21.75" customHeight="1">
      <c r="A127" s="549" t="s">
        <v>171</v>
      </c>
      <c r="B127" s="501"/>
      <c r="C127" s="502" t="s">
        <v>673</v>
      </c>
      <c r="D127" s="503" t="s">
        <v>161</v>
      </c>
      <c r="E127" s="504">
        <v>1</v>
      </c>
      <c r="F127" s="504"/>
      <c r="G127" s="550">
        <f>$E127*F127</f>
        <v>0</v>
      </c>
    </row>
    <row r="128" spans="1:7" s="505" customFormat="1" ht="45.75" customHeight="1">
      <c r="A128" s="549" t="s">
        <v>172</v>
      </c>
      <c r="B128" s="501"/>
      <c r="C128" s="502" t="s">
        <v>840</v>
      </c>
      <c r="D128" s="503" t="s">
        <v>161</v>
      </c>
      <c r="E128" s="504">
        <v>1</v>
      </c>
      <c r="F128" s="504"/>
      <c r="G128" s="550">
        <f>$E128*F128</f>
        <v>0</v>
      </c>
    </row>
    <row r="129" spans="1:7" s="204" customFormat="1" ht="14" thickBot="1">
      <c r="A129" s="557"/>
      <c r="B129" s="412"/>
      <c r="C129" s="220"/>
      <c r="D129" s="221"/>
      <c r="E129" s="414"/>
      <c r="F129" s="414"/>
      <c r="G129" s="558"/>
    </row>
    <row r="130" spans="1:7" ht="13" thickBot="1">
      <c r="A130" s="553"/>
      <c r="B130" s="226"/>
      <c r="C130" s="227" t="s">
        <v>113</v>
      </c>
      <c r="D130" s="226"/>
      <c r="E130" s="416"/>
      <c r="F130" s="417"/>
      <c r="G130" s="554">
        <f>SUBTOTAL(9,G126:G129)</f>
        <v>0</v>
      </c>
    </row>
    <row r="131" spans="1:7" ht="13" thickBot="1">
      <c r="A131" s="543"/>
      <c r="B131" s="180"/>
      <c r="C131" s="180"/>
      <c r="D131" s="180"/>
      <c r="E131" s="180"/>
      <c r="F131" s="180"/>
      <c r="G131" s="544"/>
    </row>
    <row r="132" spans="1:7" ht="17.25" customHeight="1" thickBot="1">
      <c r="A132" s="545" t="s">
        <v>183</v>
      </c>
      <c r="B132" s="183"/>
      <c r="C132" s="184" t="s">
        <v>344</v>
      </c>
      <c r="D132" s="397"/>
      <c r="E132" s="398"/>
      <c r="F132" s="187"/>
      <c r="G132" s="546"/>
    </row>
    <row r="133" spans="1:7" ht="12.75">
      <c r="A133" s="547"/>
      <c r="B133" s="400"/>
      <c r="C133" s="232"/>
      <c r="D133" s="233"/>
      <c r="E133" s="401"/>
      <c r="F133" s="402"/>
      <c r="G133" s="548"/>
    </row>
    <row r="134" spans="1:7" s="505" customFormat="1" ht="18.75" customHeight="1">
      <c r="A134" s="549" t="s">
        <v>185</v>
      </c>
      <c r="B134" s="501"/>
      <c r="C134" s="502" t="s">
        <v>674</v>
      </c>
      <c r="D134" s="503" t="s">
        <v>648</v>
      </c>
      <c r="E134" s="504">
        <v>15</v>
      </c>
      <c r="F134" s="504"/>
      <c r="G134" s="550">
        <f aca="true" t="shared" si="5" ref="G134:G139">$E134*F134</f>
        <v>0</v>
      </c>
    </row>
    <row r="135" spans="1:7" s="505" customFormat="1" ht="18.75" customHeight="1">
      <c r="A135" s="549" t="s">
        <v>187</v>
      </c>
      <c r="B135" s="501"/>
      <c r="C135" s="502" t="s">
        <v>675</v>
      </c>
      <c r="D135" s="503" t="s">
        <v>648</v>
      </c>
      <c r="E135" s="504">
        <v>10</v>
      </c>
      <c r="F135" s="504"/>
      <c r="G135" s="550">
        <f t="shared" si="5"/>
        <v>0</v>
      </c>
    </row>
    <row r="136" spans="1:7" s="505" customFormat="1" ht="18.75" customHeight="1">
      <c r="A136" s="549" t="s">
        <v>189</v>
      </c>
      <c r="B136" s="501"/>
      <c r="C136" s="502" t="s">
        <v>676</v>
      </c>
      <c r="D136" s="503" t="s">
        <v>161</v>
      </c>
      <c r="E136" s="504">
        <v>1</v>
      </c>
      <c r="F136" s="504"/>
      <c r="G136" s="550">
        <f t="shared" si="5"/>
        <v>0</v>
      </c>
    </row>
    <row r="137" spans="1:7" s="505" customFormat="1" ht="18.75" customHeight="1">
      <c r="A137" s="549" t="s">
        <v>282</v>
      </c>
      <c r="B137" s="501"/>
      <c r="C137" s="502" t="s">
        <v>677</v>
      </c>
      <c r="D137" s="503" t="s">
        <v>678</v>
      </c>
      <c r="E137" s="504">
        <v>450</v>
      </c>
      <c r="F137" s="504"/>
      <c r="G137" s="550">
        <f t="shared" si="5"/>
        <v>0</v>
      </c>
    </row>
    <row r="138" spans="1:7" s="505" customFormat="1" ht="18.75" customHeight="1">
      <c r="A138" s="549" t="s">
        <v>283</v>
      </c>
      <c r="B138" s="501"/>
      <c r="C138" s="502" t="s">
        <v>679</v>
      </c>
      <c r="D138" s="503" t="s">
        <v>161</v>
      </c>
      <c r="E138" s="504">
        <v>1</v>
      </c>
      <c r="F138" s="504"/>
      <c r="G138" s="550">
        <f t="shared" si="5"/>
        <v>0</v>
      </c>
    </row>
    <row r="139" spans="1:7" s="505" customFormat="1" ht="18.75" customHeight="1">
      <c r="A139" s="549" t="s">
        <v>284</v>
      </c>
      <c r="B139" s="501"/>
      <c r="C139" s="502" t="s">
        <v>680</v>
      </c>
      <c r="D139" s="503" t="s">
        <v>648</v>
      </c>
      <c r="E139" s="504">
        <v>15</v>
      </c>
      <c r="F139" s="504"/>
      <c r="G139" s="550">
        <f t="shared" si="5"/>
        <v>0</v>
      </c>
    </row>
    <row r="140" spans="1:7" s="204" customFormat="1" ht="14" thickBot="1">
      <c r="A140" s="557"/>
      <c r="B140" s="412"/>
      <c r="C140" s="220"/>
      <c r="D140" s="221"/>
      <c r="E140" s="414"/>
      <c r="F140" s="414"/>
      <c r="G140" s="558"/>
    </row>
    <row r="141" spans="1:7" ht="13" thickBot="1">
      <c r="A141" s="553"/>
      <c r="B141" s="226"/>
      <c r="C141" s="227" t="s">
        <v>113</v>
      </c>
      <c r="D141" s="226"/>
      <c r="E141" s="416"/>
      <c r="F141" s="417"/>
      <c r="G141" s="554">
        <f>SUBTOTAL(9,G133:G140)</f>
        <v>0</v>
      </c>
    </row>
    <row r="142" spans="1:7" ht="13" thickBot="1">
      <c r="A142" s="543"/>
      <c r="B142" s="180"/>
      <c r="C142" s="180"/>
      <c r="D142" s="180"/>
      <c r="E142" s="180"/>
      <c r="F142" s="180"/>
      <c r="G142" s="544"/>
    </row>
    <row r="143" spans="1:7" ht="13" thickBot="1">
      <c r="A143" s="545" t="s">
        <v>291</v>
      </c>
      <c r="B143" s="183"/>
      <c r="C143" s="184" t="s">
        <v>338</v>
      </c>
      <c r="D143" s="397"/>
      <c r="E143" s="440"/>
      <c r="F143" s="441"/>
      <c r="G143" s="546"/>
    </row>
    <row r="144" spans="1:7" ht="12.75">
      <c r="A144" s="547"/>
      <c r="B144" s="400"/>
      <c r="C144" s="232"/>
      <c r="D144" s="233"/>
      <c r="E144" s="401"/>
      <c r="F144" s="402"/>
      <c r="G144" s="548"/>
    </row>
    <row r="145" spans="1:7" ht="50.25" customHeight="1">
      <c r="A145" s="561" t="s">
        <v>389</v>
      </c>
      <c r="B145" s="489"/>
      <c r="C145" s="492" t="s">
        <v>247</v>
      </c>
      <c r="D145" s="489"/>
      <c r="E145" s="493"/>
      <c r="F145" s="239"/>
      <c r="G145" s="562">
        <f>$E145*F145</f>
        <v>0</v>
      </c>
    </row>
    <row r="146" spans="1:7" ht="13" thickBot="1">
      <c r="A146" s="559"/>
      <c r="B146" s="153"/>
      <c r="C146" s="299"/>
      <c r="D146" s="153"/>
      <c r="E146" s="450"/>
      <c r="F146" s="451"/>
      <c r="G146" s="560"/>
    </row>
    <row r="147" spans="1:7" ht="13" thickBot="1">
      <c r="A147" s="553"/>
      <c r="B147" s="226"/>
      <c r="C147" s="227" t="s">
        <v>113</v>
      </c>
      <c r="D147" s="226"/>
      <c r="E147" s="303"/>
      <c r="F147" s="304"/>
      <c r="G147" s="554">
        <f>SUBTOTAL(9,G144:G146)</f>
        <v>0</v>
      </c>
    </row>
    <row r="148" spans="1:7" ht="13" thickBot="1">
      <c r="A148" s="543"/>
      <c r="B148" s="180"/>
      <c r="C148" s="180"/>
      <c r="D148" s="180"/>
      <c r="E148" s="180"/>
      <c r="F148" s="180"/>
      <c r="G148" s="544"/>
    </row>
    <row r="149" spans="1:7" ht="27.75" customHeight="1" thickBot="1">
      <c r="A149" s="563"/>
      <c r="B149" s="564"/>
      <c r="C149" s="565" t="s">
        <v>38</v>
      </c>
      <c r="D149" s="566"/>
      <c r="E149" s="566"/>
      <c r="F149" s="566"/>
      <c r="G149" s="567">
        <f>SUBTOTAL(9,G31:G147)</f>
        <v>0</v>
      </c>
    </row>
    <row r="151" spans="1:6" s="480" customFormat="1" ht="12.75">
      <c r="A151" s="72"/>
      <c r="B151" s="491"/>
      <c r="C151" s="491"/>
      <c r="D151" s="75"/>
      <c r="E151" s="76"/>
      <c r="F151" s="76"/>
    </row>
    <row r="152" spans="1:6" s="480" customFormat="1" ht="12.75">
      <c r="A152" s="72"/>
      <c r="B152" s="491"/>
      <c r="C152" s="491"/>
      <c r="D152" s="75"/>
      <c r="E152" s="76"/>
      <c r="F152" s="76"/>
    </row>
    <row r="153" spans="1:6" s="480" customFormat="1" ht="12.75">
      <c r="A153" s="72"/>
      <c r="B153" s="491"/>
      <c r="C153" s="491"/>
      <c r="D153" s="75"/>
      <c r="E153" s="76"/>
      <c r="F153" s="76"/>
    </row>
    <row r="154" spans="1:6" s="480" customFormat="1" ht="12.75">
      <c r="A154" s="72"/>
      <c r="B154" s="491"/>
      <c r="C154" s="491"/>
      <c r="D154" s="75"/>
      <c r="E154" s="76"/>
      <c r="F154" s="76"/>
    </row>
    <row r="155" spans="1:6" s="480" customFormat="1" ht="12.75">
      <c r="A155" s="72"/>
      <c r="B155" s="491"/>
      <c r="C155" s="491"/>
      <c r="D155" s="75"/>
      <c r="E155" s="76"/>
      <c r="F155" s="76"/>
    </row>
    <row r="156" spans="1:6" s="480" customFormat="1" ht="12.75">
      <c r="A156" s="72"/>
      <c r="B156" s="491"/>
      <c r="C156" s="491"/>
      <c r="D156" s="75"/>
      <c r="E156" s="76"/>
      <c r="F156"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horizontalDpi="300" verticalDpi="300" orientation="portrait" paperSize="9" scale="66"/>
  <headerFooter alignWithMargins="0">
    <oddFooter>&amp;L&amp;F
&amp;A&amp;C&amp;P/&amp;N</oddFooter>
  </headerFooter>
  <rowBreaks count="1" manualBreakCount="1">
    <brk id="4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G117"/>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5" t="s">
        <v>586</v>
      </c>
      <c r="G3" s="1426"/>
    </row>
    <row r="4" spans="1:7" ht="60.75" customHeight="1" thickBot="1">
      <c r="A4" s="519"/>
      <c r="B4" s="92" t="s">
        <v>19</v>
      </c>
      <c r="C4" s="11" t="s">
        <v>994</v>
      </c>
      <c r="D4" s="94"/>
      <c r="E4" s="94"/>
      <c r="F4" s="1418"/>
      <c r="G4" s="1424"/>
    </row>
    <row r="5" spans="1:7" ht="15" customHeight="1" thickBo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thickBo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A29</f>
        <v>1</v>
      </c>
      <c r="B21" s="161"/>
      <c r="C21" s="162" t="str">
        <f>C29</f>
        <v>Otopná tělesa</v>
      </c>
      <c r="D21" s="164"/>
      <c r="E21" s="164"/>
      <c r="F21" s="165"/>
      <c r="G21" s="540">
        <f>G55</f>
        <v>0</v>
      </c>
    </row>
    <row r="22" spans="1:7" s="125" customFormat="1" ht="17.75" customHeight="1">
      <c r="A22" s="539" t="str">
        <f>A57</f>
        <v>2</v>
      </c>
      <c r="B22" s="161"/>
      <c r="C22" s="162" t="str">
        <f>C57</f>
        <v>Potrubní systém</v>
      </c>
      <c r="D22" s="164"/>
      <c r="E22" s="164"/>
      <c r="F22" s="165"/>
      <c r="G22" s="540">
        <f>G80</f>
        <v>0</v>
      </c>
    </row>
    <row r="23" spans="1:7" s="125" customFormat="1" ht="17.75" customHeight="1">
      <c r="A23" s="539" t="str">
        <f>A82</f>
        <v>3</v>
      </c>
      <c r="B23" s="161"/>
      <c r="C23" s="162" t="str">
        <f>C82</f>
        <v>Stavební úpravy - dodávky stavby</v>
      </c>
      <c r="D23" s="164"/>
      <c r="E23" s="164"/>
      <c r="F23" s="165"/>
      <c r="G23" s="540">
        <f>G90</f>
        <v>0</v>
      </c>
    </row>
    <row r="24" spans="1:7" s="510" customFormat="1" ht="17.75" customHeight="1">
      <c r="A24" s="539" t="str">
        <f>A92</f>
        <v>4</v>
      </c>
      <c r="B24" s="161"/>
      <c r="C24" s="162" t="str">
        <f>C92</f>
        <v>Ostatní práce a dodávky</v>
      </c>
      <c r="D24" s="164"/>
      <c r="E24" s="164"/>
      <c r="F24" s="165"/>
      <c r="G24" s="571">
        <f>G102</f>
        <v>0</v>
      </c>
    </row>
    <row r="25" spans="1:7" ht="18" customHeight="1">
      <c r="A25" s="539" t="str">
        <f>A104</f>
        <v>A</v>
      </c>
      <c r="B25" s="161"/>
      <c r="C25" s="162" t="str">
        <f>C104</f>
        <v xml:space="preserve">Ostatní </v>
      </c>
      <c r="D25" s="164"/>
      <c r="E25" s="164"/>
      <c r="F25" s="165"/>
      <c r="G25" s="540">
        <f>G108</f>
        <v>0</v>
      </c>
    </row>
    <row r="26" spans="1:7" ht="13" thickBot="1">
      <c r="A26" s="539"/>
      <c r="B26" s="153"/>
      <c r="C26" s="167"/>
      <c r="D26" s="153"/>
      <c r="E26" s="168"/>
      <c r="F26" s="156"/>
      <c r="G26" s="540"/>
    </row>
    <row r="27" spans="1:7" ht="28.5" customHeight="1" thickBot="1">
      <c r="A27" s="541"/>
      <c r="B27" s="171"/>
      <c r="C27" s="172" t="s">
        <v>38</v>
      </c>
      <c r="D27" s="175"/>
      <c r="E27" s="174"/>
      <c r="F27" s="175"/>
      <c r="G27" s="542">
        <f>SUM(G21:G25)</f>
        <v>0</v>
      </c>
    </row>
    <row r="28" spans="1:7" ht="13" thickBot="1">
      <c r="A28" s="543"/>
      <c r="B28" s="180"/>
      <c r="C28" s="180"/>
      <c r="D28" s="180"/>
      <c r="E28" s="180"/>
      <c r="F28" s="180"/>
      <c r="G28" s="544"/>
    </row>
    <row r="29" spans="1:7" s="125" customFormat="1" ht="18" customHeight="1" thickBot="1">
      <c r="A29" s="545" t="s">
        <v>43</v>
      </c>
      <c r="B29" s="183"/>
      <c r="C29" s="184" t="s">
        <v>681</v>
      </c>
      <c r="D29" s="397"/>
      <c r="E29" s="398"/>
      <c r="F29" s="187"/>
      <c r="G29" s="546"/>
    </row>
    <row r="30" spans="1:7" s="125" customFormat="1" ht="12.75" customHeight="1">
      <c r="A30" s="547"/>
      <c r="B30" s="400"/>
      <c r="C30" s="232"/>
      <c r="D30" s="233"/>
      <c r="E30" s="401"/>
      <c r="F30" s="402"/>
      <c r="G30" s="548"/>
    </row>
    <row r="31" spans="1:7" s="499" customFormat="1" ht="25.5" customHeight="1">
      <c r="A31" s="887" t="s">
        <v>45</v>
      </c>
      <c r="B31" s="903"/>
      <c r="C31" s="889" t="s">
        <v>682</v>
      </c>
      <c r="D31" s="496" t="s">
        <v>158</v>
      </c>
      <c r="E31" s="497">
        <v>11</v>
      </c>
      <c r="F31" s="890"/>
      <c r="G31" s="891">
        <f>$E31*F31</f>
        <v>0</v>
      </c>
    </row>
    <row r="32" spans="1:7" s="499" customFormat="1" ht="20.25" customHeight="1">
      <c r="A32" s="887" t="s">
        <v>47</v>
      </c>
      <c r="B32" s="903"/>
      <c r="C32" s="892" t="s">
        <v>683</v>
      </c>
      <c r="D32" s="496" t="s">
        <v>158</v>
      </c>
      <c r="E32" s="497">
        <v>3</v>
      </c>
      <c r="F32" s="890"/>
      <c r="G32" s="891">
        <f aca="true" t="shared" si="0" ref="G32:G53">$E32*F32</f>
        <v>0</v>
      </c>
    </row>
    <row r="33" spans="1:7" s="499" customFormat="1" ht="20.25" customHeight="1">
      <c r="A33" s="887" t="s">
        <v>50</v>
      </c>
      <c r="B33" s="903"/>
      <c r="C33" s="892" t="s">
        <v>684</v>
      </c>
      <c r="D33" s="496" t="s">
        <v>158</v>
      </c>
      <c r="E33" s="497">
        <v>1</v>
      </c>
      <c r="F33" s="890"/>
      <c r="G33" s="891">
        <f t="shared" si="0"/>
        <v>0</v>
      </c>
    </row>
    <row r="34" spans="1:7" s="499" customFormat="1" ht="20.25" customHeight="1">
      <c r="A34" s="887" t="s">
        <v>53</v>
      </c>
      <c r="B34" s="903"/>
      <c r="C34" s="892" t="s">
        <v>685</v>
      </c>
      <c r="D34" s="496" t="s">
        <v>158</v>
      </c>
      <c r="E34" s="497">
        <v>6</v>
      </c>
      <c r="F34" s="890"/>
      <c r="G34" s="891">
        <f t="shared" si="0"/>
        <v>0</v>
      </c>
    </row>
    <row r="35" spans="1:7" s="499" customFormat="1" ht="20.25" customHeight="1">
      <c r="A35" s="887" t="s">
        <v>56</v>
      </c>
      <c r="B35" s="903"/>
      <c r="C35" s="892" t="s">
        <v>686</v>
      </c>
      <c r="D35" s="496" t="s">
        <v>158</v>
      </c>
      <c r="E35" s="497">
        <v>2</v>
      </c>
      <c r="F35" s="890"/>
      <c r="G35" s="891">
        <f t="shared" si="0"/>
        <v>0</v>
      </c>
    </row>
    <row r="36" spans="1:7" s="499" customFormat="1" ht="20.25" customHeight="1">
      <c r="A36" s="887" t="s">
        <v>58</v>
      </c>
      <c r="B36" s="903"/>
      <c r="C36" s="892" t="s">
        <v>687</v>
      </c>
      <c r="D36" s="496" t="s">
        <v>158</v>
      </c>
      <c r="E36" s="497">
        <v>1</v>
      </c>
      <c r="F36" s="890"/>
      <c r="G36" s="891">
        <f t="shared" si="0"/>
        <v>0</v>
      </c>
    </row>
    <row r="37" spans="1:7" s="499" customFormat="1" ht="20.25" customHeight="1">
      <c r="A37" s="887" t="s">
        <v>61</v>
      </c>
      <c r="B37" s="903"/>
      <c r="C37" s="892" t="s">
        <v>688</v>
      </c>
      <c r="D37" s="496" t="s">
        <v>158</v>
      </c>
      <c r="E37" s="497">
        <v>4</v>
      </c>
      <c r="F37" s="890"/>
      <c r="G37" s="891">
        <f t="shared" si="0"/>
        <v>0</v>
      </c>
    </row>
    <row r="38" spans="1:7" s="499" customFormat="1" ht="20.25" customHeight="1">
      <c r="A38" s="887" t="s">
        <v>63</v>
      </c>
      <c r="B38" s="903"/>
      <c r="C38" s="892" t="s">
        <v>689</v>
      </c>
      <c r="D38" s="496" t="s">
        <v>158</v>
      </c>
      <c r="E38" s="497">
        <v>1</v>
      </c>
      <c r="F38" s="890"/>
      <c r="G38" s="891">
        <f t="shared" si="0"/>
        <v>0</v>
      </c>
    </row>
    <row r="39" spans="1:7" s="499" customFormat="1" ht="20.25" customHeight="1">
      <c r="A39" s="887" t="s">
        <v>64</v>
      </c>
      <c r="B39" s="903"/>
      <c r="C39" s="892" t="s">
        <v>690</v>
      </c>
      <c r="D39" s="496" t="s">
        <v>158</v>
      </c>
      <c r="E39" s="497">
        <v>1</v>
      </c>
      <c r="F39" s="890"/>
      <c r="G39" s="891">
        <f t="shared" si="0"/>
        <v>0</v>
      </c>
    </row>
    <row r="40" spans="1:7" s="499" customFormat="1" ht="20.25" customHeight="1">
      <c r="A40" s="887" t="s">
        <v>66</v>
      </c>
      <c r="B40" s="903"/>
      <c r="C40" s="892" t="s">
        <v>691</v>
      </c>
      <c r="D40" s="496" t="s">
        <v>158</v>
      </c>
      <c r="E40" s="497">
        <v>2</v>
      </c>
      <c r="F40" s="890"/>
      <c r="G40" s="891">
        <f t="shared" si="0"/>
        <v>0</v>
      </c>
    </row>
    <row r="41" spans="1:7" s="499" customFormat="1" ht="20.25" customHeight="1">
      <c r="A41" s="887" t="s">
        <v>70</v>
      </c>
      <c r="B41" s="904" t="s">
        <v>703</v>
      </c>
      <c r="C41" s="892" t="s">
        <v>692</v>
      </c>
      <c r="D41" s="496" t="s">
        <v>158</v>
      </c>
      <c r="E41" s="497">
        <v>1</v>
      </c>
      <c r="F41" s="890"/>
      <c r="G41" s="891">
        <f t="shared" si="0"/>
        <v>0</v>
      </c>
    </row>
    <row r="42" spans="1:7" s="499" customFormat="1" ht="20.25" customHeight="1">
      <c r="A42" s="887" t="s">
        <v>74</v>
      </c>
      <c r="B42" s="904" t="s">
        <v>703</v>
      </c>
      <c r="C42" s="892" t="s">
        <v>693</v>
      </c>
      <c r="D42" s="496" t="s">
        <v>158</v>
      </c>
      <c r="E42" s="497">
        <v>3</v>
      </c>
      <c r="F42" s="890"/>
      <c r="G42" s="891">
        <f t="shared" si="0"/>
        <v>0</v>
      </c>
    </row>
    <row r="43" spans="1:7" s="499" customFormat="1" ht="20.25" customHeight="1">
      <c r="A43" s="887" t="s">
        <v>77</v>
      </c>
      <c r="B43" s="904" t="s">
        <v>704</v>
      </c>
      <c r="C43" s="892" t="s">
        <v>694</v>
      </c>
      <c r="D43" s="496" t="s">
        <v>158</v>
      </c>
      <c r="E43" s="497">
        <v>1</v>
      </c>
      <c r="F43" s="890"/>
      <c r="G43" s="891">
        <f t="shared" si="0"/>
        <v>0</v>
      </c>
    </row>
    <row r="44" spans="1:7" s="499" customFormat="1" ht="20.25" customHeight="1">
      <c r="A44" s="887" t="s">
        <v>80</v>
      </c>
      <c r="B44" s="904" t="s">
        <v>705</v>
      </c>
      <c r="C44" s="892" t="s">
        <v>695</v>
      </c>
      <c r="D44" s="496" t="s">
        <v>158</v>
      </c>
      <c r="E44" s="497">
        <v>1</v>
      </c>
      <c r="F44" s="890"/>
      <c r="G44" s="891">
        <f t="shared" si="0"/>
        <v>0</v>
      </c>
    </row>
    <row r="45" spans="1:7" s="499" customFormat="1" ht="20.25" customHeight="1">
      <c r="A45" s="887" t="s">
        <v>82</v>
      </c>
      <c r="B45" s="904"/>
      <c r="C45" s="892" t="s">
        <v>696</v>
      </c>
      <c r="D45" s="496" t="s">
        <v>158</v>
      </c>
      <c r="E45" s="497">
        <v>38</v>
      </c>
      <c r="F45" s="890"/>
      <c r="G45" s="891">
        <f t="shared" si="0"/>
        <v>0</v>
      </c>
    </row>
    <row r="46" spans="1:7" s="499" customFormat="1" ht="20.25" customHeight="1">
      <c r="A46" s="887" t="s">
        <v>84</v>
      </c>
      <c r="B46" s="903"/>
      <c r="C46" s="892" t="s">
        <v>891</v>
      </c>
      <c r="D46" s="496" t="s">
        <v>161</v>
      </c>
      <c r="E46" s="497">
        <v>38</v>
      </c>
      <c r="F46" s="890"/>
      <c r="G46" s="891">
        <f t="shared" si="0"/>
        <v>0</v>
      </c>
    </row>
    <row r="47" spans="1:7" s="499" customFormat="1" ht="20.25" customHeight="1">
      <c r="A47" s="887"/>
      <c r="B47" s="903"/>
      <c r="C47" s="892"/>
      <c r="D47" s="496"/>
      <c r="E47" s="497"/>
      <c r="F47" s="890"/>
      <c r="G47" s="891"/>
    </row>
    <row r="48" spans="1:7" s="499" customFormat="1" ht="40.5" customHeight="1">
      <c r="A48" s="887" t="s">
        <v>85</v>
      </c>
      <c r="B48" s="903"/>
      <c r="C48" s="893" t="s">
        <v>697</v>
      </c>
      <c r="D48" s="496" t="s">
        <v>158</v>
      </c>
      <c r="E48" s="497">
        <v>32</v>
      </c>
      <c r="F48" s="890"/>
      <c r="G48" s="891">
        <f t="shared" si="0"/>
        <v>0</v>
      </c>
    </row>
    <row r="49" spans="1:7" s="499" customFormat="1" ht="20.25" customHeight="1">
      <c r="A49" s="887" t="s">
        <v>89</v>
      </c>
      <c r="B49" s="903"/>
      <c r="C49" s="892" t="s">
        <v>698</v>
      </c>
      <c r="D49" s="496" t="s">
        <v>158</v>
      </c>
      <c r="E49" s="497">
        <v>32</v>
      </c>
      <c r="F49" s="890"/>
      <c r="G49" s="891">
        <f t="shared" si="0"/>
        <v>0</v>
      </c>
    </row>
    <row r="50" spans="1:7" s="499" customFormat="1" ht="20.25" customHeight="1">
      <c r="A50" s="887" t="s">
        <v>91</v>
      </c>
      <c r="B50" s="903"/>
      <c r="C50" s="892" t="s">
        <v>699</v>
      </c>
      <c r="D50" s="496" t="s">
        <v>158</v>
      </c>
      <c r="E50" s="497">
        <v>1</v>
      </c>
      <c r="F50" s="890"/>
      <c r="G50" s="891">
        <f t="shared" si="0"/>
        <v>0</v>
      </c>
    </row>
    <row r="51" spans="1:7" s="499" customFormat="1" ht="20.25" customHeight="1">
      <c r="A51" s="887" t="s">
        <v>93</v>
      </c>
      <c r="B51" s="903"/>
      <c r="C51" s="892" t="s">
        <v>700</v>
      </c>
      <c r="D51" s="496" t="s">
        <v>158</v>
      </c>
      <c r="E51" s="497">
        <v>1</v>
      </c>
      <c r="F51" s="890"/>
      <c r="G51" s="891">
        <f t="shared" si="0"/>
        <v>0</v>
      </c>
    </row>
    <row r="52" spans="1:7" s="499" customFormat="1" ht="20.25" customHeight="1">
      <c r="A52" s="887" t="s">
        <v>95</v>
      </c>
      <c r="B52" s="903"/>
      <c r="C52" s="892" t="s">
        <v>701</v>
      </c>
      <c r="D52" s="496" t="s">
        <v>158</v>
      </c>
      <c r="E52" s="497">
        <v>5</v>
      </c>
      <c r="F52" s="890"/>
      <c r="G52" s="891">
        <f t="shared" si="0"/>
        <v>0</v>
      </c>
    </row>
    <row r="53" spans="1:7" s="499" customFormat="1" ht="20.25" customHeight="1">
      <c r="A53" s="887" t="s">
        <v>103</v>
      </c>
      <c r="B53" s="903"/>
      <c r="C53" s="892" t="s">
        <v>702</v>
      </c>
      <c r="D53" s="496" t="s">
        <v>158</v>
      </c>
      <c r="E53" s="497">
        <v>5</v>
      </c>
      <c r="F53" s="890"/>
      <c r="G53" s="891">
        <f t="shared" si="0"/>
        <v>0</v>
      </c>
    </row>
    <row r="54" spans="1:7" ht="14" thickBot="1">
      <c r="A54" s="551"/>
      <c r="B54" s="412"/>
      <c r="C54" s="220"/>
      <c r="D54" s="221"/>
      <c r="E54" s="413"/>
      <c r="F54" s="414"/>
      <c r="G54" s="552"/>
    </row>
    <row r="55" spans="1:7" ht="19.5" customHeight="1" thickBot="1">
      <c r="A55" s="553"/>
      <c r="B55" s="226"/>
      <c r="C55" s="227" t="s">
        <v>113</v>
      </c>
      <c r="D55" s="226"/>
      <c r="E55" s="416"/>
      <c r="F55" s="417"/>
      <c r="G55" s="554">
        <f>SUBTOTAL(9,G30:G54)</f>
        <v>0</v>
      </c>
    </row>
    <row r="56" spans="1:7" ht="13" thickBot="1">
      <c r="A56" s="543"/>
      <c r="B56" s="180"/>
      <c r="C56" s="180"/>
      <c r="D56" s="180"/>
      <c r="E56" s="180"/>
      <c r="F56" s="180"/>
      <c r="G56" s="544"/>
    </row>
    <row r="57" spans="1:7" ht="17.25" customHeight="1" thickBot="1">
      <c r="A57" s="545" t="s">
        <v>100</v>
      </c>
      <c r="B57" s="183"/>
      <c r="C57" s="184" t="s">
        <v>706</v>
      </c>
      <c r="D57" s="397"/>
      <c r="E57" s="398"/>
      <c r="F57" s="187"/>
      <c r="G57" s="546"/>
    </row>
    <row r="58" spans="1:7" ht="12.75">
      <c r="A58" s="547"/>
      <c r="B58" s="400"/>
      <c r="C58" s="232"/>
      <c r="D58" s="233"/>
      <c r="E58" s="401"/>
      <c r="F58" s="402"/>
      <c r="G58" s="548"/>
    </row>
    <row r="59" spans="1:7" s="900" customFormat="1" ht="18.75" customHeight="1">
      <c r="A59" s="549" t="s">
        <v>115</v>
      </c>
      <c r="B59" s="501"/>
      <c r="C59" s="897" t="s">
        <v>615</v>
      </c>
      <c r="D59" s="898" t="s">
        <v>158</v>
      </c>
      <c r="E59" s="899">
        <v>6</v>
      </c>
      <c r="F59" s="899"/>
      <c r="G59" s="550">
        <f>$E59*F59</f>
        <v>0</v>
      </c>
    </row>
    <row r="60" spans="1:7" s="900" customFormat="1" ht="18.75" customHeight="1">
      <c r="A60" s="549" t="s">
        <v>117</v>
      </c>
      <c r="B60" s="501"/>
      <c r="C60" s="897" t="s">
        <v>625</v>
      </c>
      <c r="D60" s="898" t="s">
        <v>158</v>
      </c>
      <c r="E60" s="899">
        <v>12</v>
      </c>
      <c r="F60" s="899"/>
      <c r="G60" s="550">
        <f>$E60*F60</f>
        <v>0</v>
      </c>
    </row>
    <row r="61" spans="1:7" s="900" customFormat="1" ht="18.75" customHeight="1">
      <c r="A61" s="549" t="s">
        <v>119</v>
      </c>
      <c r="B61" s="501"/>
      <c r="C61" s="897" t="s">
        <v>716</v>
      </c>
      <c r="D61" s="898" t="s">
        <v>158</v>
      </c>
      <c r="E61" s="899">
        <v>20</v>
      </c>
      <c r="F61" s="899"/>
      <c r="G61" s="550">
        <f aca="true" t="shared" si="1" ref="G61:G78">$E61*F61</f>
        <v>0</v>
      </c>
    </row>
    <row r="62" spans="1:7" s="900" customFormat="1" ht="18" customHeight="1">
      <c r="A62" s="549" t="s">
        <v>295</v>
      </c>
      <c r="B62" s="501"/>
      <c r="C62" s="897" t="s">
        <v>629</v>
      </c>
      <c r="D62" s="898" t="s">
        <v>158</v>
      </c>
      <c r="E62" s="899">
        <v>125</v>
      </c>
      <c r="F62" s="899"/>
      <c r="G62" s="550">
        <f t="shared" si="1"/>
        <v>0</v>
      </c>
    </row>
    <row r="63" spans="1:7" s="900" customFormat="1" ht="18" customHeight="1">
      <c r="A63" s="549" t="s">
        <v>299</v>
      </c>
      <c r="B63" s="501"/>
      <c r="C63" s="897" t="s">
        <v>630</v>
      </c>
      <c r="D63" s="898" t="s">
        <v>158</v>
      </c>
      <c r="E63" s="899">
        <v>95</v>
      </c>
      <c r="F63" s="899"/>
      <c r="G63" s="550">
        <f t="shared" si="1"/>
        <v>0</v>
      </c>
    </row>
    <row r="64" spans="1:7" s="900" customFormat="1" ht="18" customHeight="1">
      <c r="A64" s="549" t="s">
        <v>301</v>
      </c>
      <c r="B64" s="501"/>
      <c r="C64" s="897" t="s">
        <v>631</v>
      </c>
      <c r="D64" s="898" t="s">
        <v>158</v>
      </c>
      <c r="E64" s="899">
        <v>65</v>
      </c>
      <c r="F64" s="899"/>
      <c r="G64" s="550">
        <f t="shared" si="1"/>
        <v>0</v>
      </c>
    </row>
    <row r="65" spans="1:7" s="900" customFormat="1" ht="18" customHeight="1">
      <c r="A65" s="549" t="s">
        <v>304</v>
      </c>
      <c r="B65" s="501"/>
      <c r="C65" s="897" t="s">
        <v>707</v>
      </c>
      <c r="D65" s="898" t="s">
        <v>116</v>
      </c>
      <c r="E65" s="899">
        <v>212</v>
      </c>
      <c r="F65" s="899"/>
      <c r="G65" s="550">
        <f t="shared" si="1"/>
        <v>0</v>
      </c>
    </row>
    <row r="66" spans="1:7" s="900" customFormat="1" ht="18" customHeight="1">
      <c r="A66" s="549" t="s">
        <v>307</v>
      </c>
      <c r="B66" s="501"/>
      <c r="C66" s="897" t="s">
        <v>708</v>
      </c>
      <c r="D66" s="898" t="s">
        <v>116</v>
      </c>
      <c r="E66" s="899">
        <v>203</v>
      </c>
      <c r="F66" s="899"/>
      <c r="G66" s="550">
        <f t="shared" si="1"/>
        <v>0</v>
      </c>
    </row>
    <row r="67" spans="1:7" s="900" customFormat="1" ht="18" customHeight="1">
      <c r="A67" s="549" t="s">
        <v>310</v>
      </c>
      <c r="B67" s="501"/>
      <c r="C67" s="897" t="s">
        <v>634</v>
      </c>
      <c r="D67" s="898" t="s">
        <v>116</v>
      </c>
      <c r="E67" s="899">
        <v>178</v>
      </c>
      <c r="F67" s="899"/>
      <c r="G67" s="550">
        <f t="shared" si="1"/>
        <v>0</v>
      </c>
    </row>
    <row r="68" spans="1:7" s="900" customFormat="1" ht="18" customHeight="1">
      <c r="A68" s="549" t="s">
        <v>311</v>
      </c>
      <c r="B68" s="501"/>
      <c r="C68" s="897" t="s">
        <v>709</v>
      </c>
      <c r="D68" s="898" t="s">
        <v>116</v>
      </c>
      <c r="E68" s="899">
        <v>167</v>
      </c>
      <c r="F68" s="899"/>
      <c r="G68" s="550">
        <f t="shared" si="1"/>
        <v>0</v>
      </c>
    </row>
    <row r="69" spans="1:7" s="900" customFormat="1" ht="18" customHeight="1">
      <c r="A69" s="549" t="s">
        <v>312</v>
      </c>
      <c r="B69" s="501"/>
      <c r="C69" s="897" t="s">
        <v>710</v>
      </c>
      <c r="D69" s="898" t="s">
        <v>116</v>
      </c>
      <c r="E69" s="899">
        <v>760</v>
      </c>
      <c r="F69" s="899"/>
      <c r="G69" s="550">
        <f t="shared" si="1"/>
        <v>0</v>
      </c>
    </row>
    <row r="70" spans="1:7" s="900" customFormat="1" ht="21" customHeight="1">
      <c r="A70" s="549" t="s">
        <v>313</v>
      </c>
      <c r="B70" s="501"/>
      <c r="C70" s="897" t="s">
        <v>711</v>
      </c>
      <c r="D70" s="898" t="s">
        <v>116</v>
      </c>
      <c r="E70" s="899">
        <v>760</v>
      </c>
      <c r="F70" s="899"/>
      <c r="G70" s="550">
        <f t="shared" si="1"/>
        <v>0</v>
      </c>
    </row>
    <row r="71" spans="1:7" s="900" customFormat="1" ht="21" customHeight="1">
      <c r="A71" s="549" t="s">
        <v>314</v>
      </c>
      <c r="B71" s="501"/>
      <c r="C71" s="897" t="s">
        <v>640</v>
      </c>
      <c r="D71" s="898" t="s">
        <v>116</v>
      </c>
      <c r="E71" s="899">
        <v>760</v>
      </c>
      <c r="F71" s="899"/>
      <c r="G71" s="550">
        <f t="shared" si="1"/>
        <v>0</v>
      </c>
    </row>
    <row r="72" spans="1:7" s="900" customFormat="1" ht="21" customHeight="1">
      <c r="A72" s="549" t="s">
        <v>315</v>
      </c>
      <c r="B72" s="501"/>
      <c r="C72" s="897" t="s">
        <v>712</v>
      </c>
      <c r="D72" s="898" t="s">
        <v>116</v>
      </c>
      <c r="E72" s="899">
        <v>150</v>
      </c>
      <c r="F72" s="899"/>
      <c r="G72" s="550">
        <f t="shared" si="1"/>
        <v>0</v>
      </c>
    </row>
    <row r="73" spans="1:7" s="900" customFormat="1" ht="21" customHeight="1">
      <c r="A73" s="549" t="s">
        <v>316</v>
      </c>
      <c r="B73" s="501"/>
      <c r="C73" s="897" t="s">
        <v>713</v>
      </c>
      <c r="D73" s="898" t="s">
        <v>116</v>
      </c>
      <c r="E73" s="899">
        <v>160</v>
      </c>
      <c r="F73" s="899"/>
      <c r="G73" s="550">
        <f t="shared" si="1"/>
        <v>0</v>
      </c>
    </row>
    <row r="74" spans="1:7" s="900" customFormat="1" ht="21" customHeight="1">
      <c r="A74" s="549" t="s">
        <v>317</v>
      </c>
      <c r="B74" s="501"/>
      <c r="C74" s="897" t="s">
        <v>641</v>
      </c>
      <c r="D74" s="898" t="s">
        <v>116</v>
      </c>
      <c r="E74" s="899">
        <v>178</v>
      </c>
      <c r="F74" s="899"/>
      <c r="G74" s="550">
        <f t="shared" si="1"/>
        <v>0</v>
      </c>
    </row>
    <row r="75" spans="1:7" s="900" customFormat="1" ht="21" customHeight="1">
      <c r="A75" s="549" t="s">
        <v>318</v>
      </c>
      <c r="B75" s="501"/>
      <c r="C75" s="897" t="s">
        <v>642</v>
      </c>
      <c r="D75" s="898" t="s">
        <v>116</v>
      </c>
      <c r="E75" s="899">
        <v>167</v>
      </c>
      <c r="F75" s="899"/>
      <c r="G75" s="550">
        <f t="shared" si="1"/>
        <v>0</v>
      </c>
    </row>
    <row r="76" spans="1:7" s="900" customFormat="1" ht="21" customHeight="1">
      <c r="A76" s="549" t="s">
        <v>401</v>
      </c>
      <c r="B76" s="501"/>
      <c r="C76" s="897" t="s">
        <v>646</v>
      </c>
      <c r="D76" s="898" t="s">
        <v>161</v>
      </c>
      <c r="E76" s="899">
        <v>1</v>
      </c>
      <c r="F76" s="899"/>
      <c r="G76" s="550">
        <f t="shared" si="1"/>
        <v>0</v>
      </c>
    </row>
    <row r="77" spans="1:7" s="900" customFormat="1" ht="21" customHeight="1">
      <c r="A77" s="549" t="s">
        <v>402</v>
      </c>
      <c r="B77" s="501"/>
      <c r="C77" s="897" t="s">
        <v>714</v>
      </c>
      <c r="D77" s="898" t="s">
        <v>116</v>
      </c>
      <c r="E77" s="899">
        <v>370</v>
      </c>
      <c r="F77" s="899"/>
      <c r="G77" s="550">
        <f t="shared" si="1"/>
        <v>0</v>
      </c>
    </row>
    <row r="78" spans="1:7" s="900" customFormat="1" ht="21" customHeight="1">
      <c r="A78" s="549" t="s">
        <v>403</v>
      </c>
      <c r="B78" s="501"/>
      <c r="C78" s="897" t="s">
        <v>715</v>
      </c>
      <c r="D78" s="898" t="s">
        <v>648</v>
      </c>
      <c r="E78" s="899">
        <v>290</v>
      </c>
      <c r="F78" s="899"/>
      <c r="G78" s="550">
        <f t="shared" si="1"/>
        <v>0</v>
      </c>
    </row>
    <row r="79" spans="1:7" ht="14" thickBot="1">
      <c r="A79" s="551"/>
      <c r="B79" s="412"/>
      <c r="C79" s="220"/>
      <c r="D79" s="221"/>
      <c r="E79" s="413"/>
      <c r="F79" s="414"/>
      <c r="G79" s="552"/>
    </row>
    <row r="80" spans="1:7" ht="13" thickBot="1">
      <c r="A80" s="553"/>
      <c r="B80" s="226"/>
      <c r="C80" s="227" t="s">
        <v>113</v>
      </c>
      <c r="D80" s="226"/>
      <c r="E80" s="416"/>
      <c r="F80" s="417"/>
      <c r="G80" s="554">
        <f>SUBTOTAL(9,G58:G79)</f>
        <v>0</v>
      </c>
    </row>
    <row r="81" spans="1:7" ht="13" thickBot="1">
      <c r="A81" s="543"/>
      <c r="B81" s="180"/>
      <c r="C81" s="180"/>
      <c r="D81" s="180"/>
      <c r="E81" s="180"/>
      <c r="F81" s="180"/>
      <c r="G81" s="544"/>
    </row>
    <row r="82" spans="1:7" ht="17.25" customHeight="1" thickBot="1">
      <c r="A82" s="545" t="s">
        <v>121</v>
      </c>
      <c r="B82" s="183"/>
      <c r="C82" s="184" t="s">
        <v>717</v>
      </c>
      <c r="D82" s="397"/>
      <c r="E82" s="398"/>
      <c r="F82" s="187"/>
      <c r="G82" s="546"/>
    </row>
    <row r="83" spans="1:7" ht="12.75">
      <c r="A83" s="547"/>
      <c r="B83" s="400"/>
      <c r="C83" s="232"/>
      <c r="D83" s="233"/>
      <c r="E83" s="401"/>
      <c r="F83" s="402"/>
      <c r="G83" s="548"/>
    </row>
    <row r="84" spans="1:7" s="505" customFormat="1" ht="20.25" customHeight="1">
      <c r="A84" s="549" t="s">
        <v>123</v>
      </c>
      <c r="B84" s="501"/>
      <c r="C84" s="502" t="s">
        <v>718</v>
      </c>
      <c r="D84" s="503" t="s">
        <v>158</v>
      </c>
      <c r="E84" s="504">
        <v>38</v>
      </c>
      <c r="F84" s="504"/>
      <c r="G84" s="550">
        <f>$E84*F84</f>
        <v>0</v>
      </c>
    </row>
    <row r="85" spans="1:7" s="505" customFormat="1" ht="20.25" customHeight="1">
      <c r="A85" s="549" t="s">
        <v>124</v>
      </c>
      <c r="B85" s="501"/>
      <c r="C85" s="502" t="s">
        <v>719</v>
      </c>
      <c r="D85" s="503" t="s">
        <v>116</v>
      </c>
      <c r="E85" s="504">
        <v>370</v>
      </c>
      <c r="F85" s="504"/>
      <c r="G85" s="550">
        <f>$E85*F85</f>
        <v>0</v>
      </c>
    </row>
    <row r="86" spans="1:7" s="505" customFormat="1" ht="20.25" customHeight="1">
      <c r="A86" s="549" t="s">
        <v>125</v>
      </c>
      <c r="B86" s="501"/>
      <c r="C86" s="502" t="s">
        <v>720</v>
      </c>
      <c r="D86" s="503" t="s">
        <v>161</v>
      </c>
      <c r="E86" s="504">
        <v>15</v>
      </c>
      <c r="F86" s="504"/>
      <c r="G86" s="550">
        <f>$E86*F86</f>
        <v>0</v>
      </c>
    </row>
    <row r="87" spans="1:7" s="505" customFormat="1" ht="20.25" customHeight="1">
      <c r="A87" s="549" t="s">
        <v>126</v>
      </c>
      <c r="B87" s="501"/>
      <c r="C87" s="502" t="s">
        <v>721</v>
      </c>
      <c r="D87" s="503" t="s">
        <v>181</v>
      </c>
      <c r="E87" s="504">
        <v>950</v>
      </c>
      <c r="F87" s="504"/>
      <c r="G87" s="550">
        <f>$E87*F87</f>
        <v>0</v>
      </c>
    </row>
    <row r="88" spans="1:7" s="505" customFormat="1" ht="20.25" customHeight="1">
      <c r="A88" s="549" t="s">
        <v>127</v>
      </c>
      <c r="B88" s="501"/>
      <c r="C88" s="502" t="s">
        <v>722</v>
      </c>
      <c r="D88" s="503" t="s">
        <v>158</v>
      </c>
      <c r="E88" s="504">
        <v>9</v>
      </c>
      <c r="F88" s="504"/>
      <c r="G88" s="550">
        <f>$E88*F88</f>
        <v>0</v>
      </c>
    </row>
    <row r="89" spans="1:7" s="204" customFormat="1" ht="14" thickBot="1">
      <c r="A89" s="557"/>
      <c r="B89" s="412"/>
      <c r="C89" s="220"/>
      <c r="D89" s="221"/>
      <c r="E89" s="414"/>
      <c r="F89" s="414"/>
      <c r="G89" s="558"/>
    </row>
    <row r="90" spans="1:7" ht="13" thickBot="1">
      <c r="A90" s="553"/>
      <c r="B90" s="226"/>
      <c r="C90" s="227" t="s">
        <v>113</v>
      </c>
      <c r="D90" s="226"/>
      <c r="E90" s="416"/>
      <c r="F90" s="417"/>
      <c r="G90" s="554">
        <f>SUBTOTAL(9,G83:G89)</f>
        <v>0</v>
      </c>
    </row>
    <row r="91" spans="1:7" ht="13" thickBot="1">
      <c r="A91" s="543"/>
      <c r="B91" s="180"/>
      <c r="C91" s="180"/>
      <c r="D91" s="180"/>
      <c r="E91" s="180"/>
      <c r="F91" s="180"/>
      <c r="G91" s="544"/>
    </row>
    <row r="92" spans="1:7" ht="17.25" customHeight="1" thickBot="1">
      <c r="A92" s="545" t="s">
        <v>98</v>
      </c>
      <c r="B92" s="183"/>
      <c r="C92" s="184" t="s">
        <v>344</v>
      </c>
      <c r="D92" s="397"/>
      <c r="E92" s="398"/>
      <c r="F92" s="187"/>
      <c r="G92" s="546"/>
    </row>
    <row r="93" spans="1:7" ht="12.75">
      <c r="A93" s="547"/>
      <c r="B93" s="400"/>
      <c r="C93" s="232"/>
      <c r="D93" s="233"/>
      <c r="E93" s="401"/>
      <c r="F93" s="402"/>
      <c r="G93" s="548"/>
    </row>
    <row r="94" spans="1:7" s="505" customFormat="1" ht="18" customHeight="1">
      <c r="A94" s="549" t="s">
        <v>156</v>
      </c>
      <c r="B94" s="501"/>
      <c r="C94" s="502" t="s">
        <v>674</v>
      </c>
      <c r="D94" s="503" t="s">
        <v>648</v>
      </c>
      <c r="E94" s="504">
        <v>45</v>
      </c>
      <c r="F94" s="504"/>
      <c r="G94" s="550">
        <f aca="true" t="shared" si="2" ref="G94:G100">$E94*F94</f>
        <v>0</v>
      </c>
    </row>
    <row r="95" spans="1:7" s="505" customFormat="1" ht="18" customHeight="1">
      <c r="A95" s="549" t="s">
        <v>159</v>
      </c>
      <c r="B95" s="501"/>
      <c r="C95" s="502" t="s">
        <v>723</v>
      </c>
      <c r="D95" s="503" t="s">
        <v>648</v>
      </c>
      <c r="E95" s="504">
        <v>24</v>
      </c>
      <c r="F95" s="504"/>
      <c r="G95" s="550">
        <f t="shared" si="2"/>
        <v>0</v>
      </c>
    </row>
    <row r="96" spans="1:7" s="505" customFormat="1" ht="18" customHeight="1">
      <c r="A96" s="549" t="s">
        <v>162</v>
      </c>
      <c r="B96" s="501"/>
      <c r="C96" s="502" t="s">
        <v>724</v>
      </c>
      <c r="D96" s="503" t="s">
        <v>648</v>
      </c>
      <c r="E96" s="504">
        <v>18</v>
      </c>
      <c r="F96" s="504"/>
      <c r="G96" s="550">
        <f t="shared" si="2"/>
        <v>0</v>
      </c>
    </row>
    <row r="97" spans="1:7" s="505" customFormat="1" ht="18" customHeight="1">
      <c r="A97" s="549" t="s">
        <v>164</v>
      </c>
      <c r="B97" s="501"/>
      <c r="C97" s="502" t="s">
        <v>676</v>
      </c>
      <c r="D97" s="503" t="s">
        <v>73</v>
      </c>
      <c r="E97" s="504">
        <v>0.75</v>
      </c>
      <c r="F97" s="504"/>
      <c r="G97" s="550">
        <f t="shared" si="2"/>
        <v>0</v>
      </c>
    </row>
    <row r="98" spans="1:7" s="505" customFormat="1" ht="18" customHeight="1">
      <c r="A98" s="549" t="s">
        <v>363</v>
      </c>
      <c r="B98" s="501"/>
      <c r="C98" s="502" t="s">
        <v>677</v>
      </c>
      <c r="D98" s="503" t="s">
        <v>678</v>
      </c>
      <c r="E98" s="504">
        <v>750</v>
      </c>
      <c r="F98" s="504"/>
      <c r="G98" s="550">
        <f t="shared" si="2"/>
        <v>0</v>
      </c>
    </row>
    <row r="99" spans="1:7" s="505" customFormat="1" ht="18" customHeight="1">
      <c r="A99" s="549" t="s">
        <v>364</v>
      </c>
      <c r="B99" s="501"/>
      <c r="C99" s="502" t="s">
        <v>679</v>
      </c>
      <c r="D99" s="503" t="s">
        <v>161</v>
      </c>
      <c r="E99" s="504">
        <v>1</v>
      </c>
      <c r="F99" s="504"/>
      <c r="G99" s="550">
        <f t="shared" si="2"/>
        <v>0</v>
      </c>
    </row>
    <row r="100" spans="1:7" s="505" customFormat="1" ht="18" customHeight="1">
      <c r="A100" s="549" t="s">
        <v>365</v>
      </c>
      <c r="B100" s="501"/>
      <c r="C100" s="502" t="s">
        <v>680</v>
      </c>
      <c r="D100" s="503" t="s">
        <v>648</v>
      </c>
      <c r="E100" s="504">
        <v>15</v>
      </c>
      <c r="F100" s="504"/>
      <c r="G100" s="550">
        <f t="shared" si="2"/>
        <v>0</v>
      </c>
    </row>
    <row r="101" spans="1:7" s="204" customFormat="1" ht="14" thickBot="1">
      <c r="A101" s="557"/>
      <c r="B101" s="412"/>
      <c r="C101" s="220"/>
      <c r="D101" s="221"/>
      <c r="E101" s="414"/>
      <c r="F101" s="414"/>
      <c r="G101" s="558"/>
    </row>
    <row r="102" spans="1:7" ht="13" thickBot="1">
      <c r="A102" s="553"/>
      <c r="B102" s="226"/>
      <c r="C102" s="227" t="s">
        <v>113</v>
      </c>
      <c r="D102" s="226"/>
      <c r="E102" s="416"/>
      <c r="F102" s="417"/>
      <c r="G102" s="554">
        <f>SUBTOTAL(9,G93:G101)</f>
        <v>0</v>
      </c>
    </row>
    <row r="103" spans="1:7" ht="13" thickBot="1">
      <c r="A103" s="543"/>
      <c r="B103" s="180"/>
      <c r="C103" s="180"/>
      <c r="D103" s="180"/>
      <c r="E103" s="180"/>
      <c r="F103" s="180"/>
      <c r="G103" s="544"/>
    </row>
    <row r="104" spans="1:7" ht="13" thickBot="1">
      <c r="A104" s="545" t="s">
        <v>291</v>
      </c>
      <c r="B104" s="183"/>
      <c r="C104" s="184" t="s">
        <v>338</v>
      </c>
      <c r="D104" s="397"/>
      <c r="E104" s="440"/>
      <c r="F104" s="441"/>
      <c r="G104" s="546"/>
    </row>
    <row r="105" spans="1:7" ht="12.75">
      <c r="A105" s="547"/>
      <c r="B105" s="400"/>
      <c r="C105" s="232"/>
      <c r="D105" s="233"/>
      <c r="E105" s="401"/>
      <c r="F105" s="402"/>
      <c r="G105" s="548"/>
    </row>
    <row r="106" spans="1:7" ht="50.25" customHeight="1">
      <c r="A106" s="561" t="s">
        <v>389</v>
      </c>
      <c r="B106" s="489"/>
      <c r="C106" s="492" t="s">
        <v>247</v>
      </c>
      <c r="D106" s="489"/>
      <c r="E106" s="493"/>
      <c r="F106" s="239"/>
      <c r="G106" s="562">
        <f>$E106*F106</f>
        <v>0</v>
      </c>
    </row>
    <row r="107" spans="1:7" ht="13" thickBot="1">
      <c r="A107" s="559"/>
      <c r="B107" s="153"/>
      <c r="C107" s="299"/>
      <c r="D107" s="153"/>
      <c r="E107" s="450"/>
      <c r="F107" s="451"/>
      <c r="G107" s="560"/>
    </row>
    <row r="108" spans="1:7" ht="13" thickBot="1">
      <c r="A108" s="553"/>
      <c r="B108" s="226"/>
      <c r="C108" s="227" t="s">
        <v>113</v>
      </c>
      <c r="D108" s="226"/>
      <c r="E108" s="303"/>
      <c r="F108" s="304"/>
      <c r="G108" s="554">
        <f>SUBTOTAL(9,G105:G107)</f>
        <v>0</v>
      </c>
    </row>
    <row r="109" spans="1:7" ht="13" thickBot="1">
      <c r="A109" s="543"/>
      <c r="B109" s="180"/>
      <c r="C109" s="180"/>
      <c r="D109" s="180"/>
      <c r="E109" s="180"/>
      <c r="F109" s="180"/>
      <c r="G109" s="544"/>
    </row>
    <row r="110" spans="1:7" ht="27.75" customHeight="1" thickBot="1">
      <c r="A110" s="563"/>
      <c r="B110" s="564"/>
      <c r="C110" s="565" t="s">
        <v>38</v>
      </c>
      <c r="D110" s="566"/>
      <c r="E110" s="566"/>
      <c r="F110" s="566"/>
      <c r="G110" s="567">
        <f>SUBTOTAL(9,G28:G108)</f>
        <v>0</v>
      </c>
    </row>
    <row r="112" spans="1:6" s="480" customFormat="1" ht="12.75">
      <c r="A112" s="72"/>
      <c r="B112" s="491"/>
      <c r="C112" s="491"/>
      <c r="D112" s="75"/>
      <c r="E112" s="76"/>
      <c r="F112" s="76"/>
    </row>
    <row r="113" spans="1:6" s="480" customFormat="1" ht="12.75">
      <c r="A113" s="72"/>
      <c r="B113" s="491"/>
      <c r="C113" s="491"/>
      <c r="D113" s="75"/>
      <c r="E113" s="76"/>
      <c r="F113" s="76"/>
    </row>
    <row r="114" spans="1:6" s="480" customFormat="1" ht="12.75">
      <c r="A114" s="72"/>
      <c r="B114" s="491"/>
      <c r="C114" s="491"/>
      <c r="D114" s="75"/>
      <c r="E114" s="76"/>
      <c r="F114" s="76"/>
    </row>
    <row r="115" spans="1:6" s="480" customFormat="1" ht="12.75">
      <c r="A115" s="72"/>
      <c r="B115" s="491"/>
      <c r="C115" s="491"/>
      <c r="D115" s="75"/>
      <c r="E115" s="76"/>
      <c r="F115" s="76"/>
    </row>
    <row r="116" spans="1:6" s="480" customFormat="1" ht="12.75">
      <c r="A116" s="72"/>
      <c r="B116" s="491"/>
      <c r="C116" s="491"/>
      <c r="D116" s="75"/>
      <c r="E116" s="76"/>
      <c r="F116" s="76"/>
    </row>
    <row r="117" spans="1:6" s="480" customFormat="1" ht="12.75">
      <c r="A117" s="72"/>
      <c r="B117" s="491"/>
      <c r="C117" s="491"/>
      <c r="D117" s="75"/>
      <c r="E117" s="76"/>
      <c r="F117"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G176"/>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5" t="s">
        <v>586</v>
      </c>
      <c r="G3" s="1426"/>
    </row>
    <row r="4" spans="1:7" ht="60.75" customHeight="1" thickBot="1">
      <c r="A4" s="519"/>
      <c r="B4" s="92" t="s">
        <v>19</v>
      </c>
      <c r="C4" s="11" t="s">
        <v>894</v>
      </c>
      <c r="D4" s="94"/>
      <c r="E4" s="94"/>
      <c r="F4" s="1418"/>
      <c r="G4" s="1424"/>
    </row>
    <row r="5" spans="1:7" ht="15" customHeight="1" thickBo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thickBo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A34</f>
        <v>1</v>
      </c>
      <c r="B21" s="161"/>
      <c r="C21" s="162" t="str">
        <f>C34</f>
        <v>Vzduchotechnická zařízení</v>
      </c>
      <c r="D21" s="164"/>
      <c r="E21" s="164"/>
      <c r="F21" s="165"/>
      <c r="G21" s="540">
        <f>G49</f>
        <v>0</v>
      </c>
    </row>
    <row r="22" spans="1:7" s="125" customFormat="1" ht="17.75" customHeight="1">
      <c r="A22" s="539" t="str">
        <f>A51</f>
        <v>2</v>
      </c>
      <c r="B22" s="161"/>
      <c r="C22" s="162" t="str">
        <f>C51</f>
        <v>Sání čerstvého vzduchu e1 -ODA</v>
      </c>
      <c r="D22" s="164"/>
      <c r="E22" s="164"/>
      <c r="F22" s="165"/>
      <c r="G22" s="540">
        <f>G59</f>
        <v>0</v>
      </c>
    </row>
    <row r="23" spans="1:7" s="125" customFormat="1" ht="17.75" customHeight="1">
      <c r="A23" s="570" t="str">
        <f>A61</f>
        <v>3</v>
      </c>
      <c r="B23" s="161"/>
      <c r="C23" s="162" t="str">
        <f>C61</f>
        <v>Výfuk odpadního vzduchu i2 -EHA</v>
      </c>
      <c r="D23" s="164"/>
      <c r="E23" s="164"/>
      <c r="F23" s="165"/>
      <c r="G23" s="540">
        <f>G70</f>
        <v>0</v>
      </c>
    </row>
    <row r="24" spans="1:7" s="125" customFormat="1" ht="17.75" customHeight="1">
      <c r="A24" s="539" t="str">
        <f>A72</f>
        <v>4</v>
      </c>
      <c r="B24" s="161"/>
      <c r="C24" s="162" t="str">
        <f>C72</f>
        <v>Přívod čerstvého vzduchu e2 -SUP</v>
      </c>
      <c r="D24" s="164"/>
      <c r="E24" s="164"/>
      <c r="F24" s="165"/>
      <c r="G24" s="540">
        <f>G98</f>
        <v>0</v>
      </c>
    </row>
    <row r="25" spans="1:7" s="125" customFormat="1" ht="17.75" customHeight="1">
      <c r="A25" s="539" t="str">
        <f>A100</f>
        <v>5</v>
      </c>
      <c r="B25" s="161"/>
      <c r="C25" s="162" t="str">
        <f>C100</f>
        <v>Sání odpadního vzduchu i1 -ETA</v>
      </c>
      <c r="D25" s="164"/>
      <c r="E25" s="164"/>
      <c r="F25" s="165"/>
      <c r="G25" s="540">
        <f>G124</f>
        <v>0</v>
      </c>
    </row>
    <row r="26" spans="1:7" s="125" customFormat="1" ht="17.75" customHeight="1">
      <c r="A26" s="539" t="str">
        <f>A126</f>
        <v>6</v>
      </c>
      <c r="B26" s="161"/>
      <c r="C26" s="162" t="str">
        <f>C126</f>
        <v>Požární klapky a prvky</v>
      </c>
      <c r="D26" s="164"/>
      <c r="E26" s="164"/>
      <c r="F26" s="165"/>
      <c r="G26" s="540">
        <f>G134</f>
        <v>0</v>
      </c>
    </row>
    <row r="27" spans="1:7" s="125" customFormat="1" ht="17.75" customHeight="1">
      <c r="A27" s="539" t="str">
        <f>A136</f>
        <v>7</v>
      </c>
      <c r="B27" s="161"/>
      <c r="C27" s="162" t="str">
        <f>C136</f>
        <v>Montáže</v>
      </c>
      <c r="D27" s="164"/>
      <c r="E27" s="164"/>
      <c r="F27" s="165"/>
      <c r="G27" s="540">
        <f>G140</f>
        <v>0</v>
      </c>
    </row>
    <row r="28" spans="1:7" s="125" customFormat="1" ht="17.75" customHeight="1">
      <c r="A28" s="539" t="str">
        <f>A142</f>
        <v>8</v>
      </c>
      <c r="B28" s="161"/>
      <c r="C28" s="162" t="str">
        <f>C142</f>
        <v>Ostatní práce a dodávky</v>
      </c>
      <c r="D28" s="164"/>
      <c r="E28" s="164"/>
      <c r="F28" s="165"/>
      <c r="G28" s="540">
        <f>G153</f>
        <v>0</v>
      </c>
    </row>
    <row r="29" spans="1:7" s="125" customFormat="1" ht="17.75" customHeight="1">
      <c r="A29" s="539" t="str">
        <f>A155</f>
        <v>9</v>
      </c>
      <c r="B29" s="161"/>
      <c r="C29" s="162" t="str">
        <f>C155</f>
        <v xml:space="preserve">Stavební úpravy, demontáže </v>
      </c>
      <c r="D29" s="164"/>
      <c r="E29" s="164"/>
      <c r="F29" s="165"/>
      <c r="G29" s="540">
        <f>G161</f>
        <v>0</v>
      </c>
    </row>
    <row r="30" spans="1:7" ht="18" customHeight="1">
      <c r="A30" s="539" t="str">
        <f>A163</f>
        <v>A</v>
      </c>
      <c r="B30" s="161"/>
      <c r="C30" s="162" t="str">
        <f>C163</f>
        <v xml:space="preserve">Ostatní </v>
      </c>
      <c r="D30" s="164"/>
      <c r="E30" s="164"/>
      <c r="F30" s="165"/>
      <c r="G30" s="540">
        <f>G167</f>
        <v>0</v>
      </c>
    </row>
    <row r="31" spans="1:7" ht="13" thickBot="1">
      <c r="A31" s="539"/>
      <c r="B31" s="153"/>
      <c r="C31" s="167"/>
      <c r="D31" s="153"/>
      <c r="E31" s="168"/>
      <c r="F31" s="156"/>
      <c r="G31" s="540"/>
    </row>
    <row r="32" spans="1:7" ht="28.5" customHeight="1" thickBot="1">
      <c r="A32" s="541"/>
      <c r="B32" s="171"/>
      <c r="C32" s="172" t="s">
        <v>38</v>
      </c>
      <c r="D32" s="175"/>
      <c r="E32" s="174"/>
      <c r="F32" s="175"/>
      <c r="G32" s="542">
        <f>SUM(G21:G30)</f>
        <v>0</v>
      </c>
    </row>
    <row r="33" spans="1:7" ht="13" thickBot="1">
      <c r="A33" s="543"/>
      <c r="B33" s="180"/>
      <c r="C33" s="180"/>
      <c r="D33" s="180"/>
      <c r="E33" s="180"/>
      <c r="F33" s="180"/>
      <c r="G33" s="544"/>
    </row>
    <row r="34" spans="1:7" s="125" customFormat="1" ht="18" customHeight="1" thickBot="1">
      <c r="A34" s="545" t="s">
        <v>43</v>
      </c>
      <c r="B34" s="183"/>
      <c r="C34" s="184" t="s">
        <v>815</v>
      </c>
      <c r="D34" s="397"/>
      <c r="E34" s="398"/>
      <c r="F34" s="187"/>
      <c r="G34" s="546"/>
    </row>
    <row r="35" spans="1:7" s="125" customFormat="1" ht="12.75" customHeight="1">
      <c r="A35" s="547"/>
      <c r="B35" s="400"/>
      <c r="C35" s="232"/>
      <c r="D35" s="233"/>
      <c r="E35" s="401"/>
      <c r="F35" s="402"/>
      <c r="G35" s="548"/>
    </row>
    <row r="36" spans="1:7" s="499" customFormat="1" ht="77">
      <c r="A36" s="549" t="s">
        <v>45</v>
      </c>
      <c r="B36" s="508" t="s">
        <v>748</v>
      </c>
      <c r="C36" s="889" t="s">
        <v>852</v>
      </c>
      <c r="D36" s="496" t="s">
        <v>175</v>
      </c>
      <c r="E36" s="497">
        <v>1</v>
      </c>
      <c r="F36" s="498"/>
      <c r="G36" s="550">
        <f>$E36*F36</f>
        <v>0</v>
      </c>
    </row>
    <row r="37" spans="1:7" s="499" customFormat="1" ht="22.5" customHeight="1">
      <c r="A37" s="549" t="s">
        <v>47</v>
      </c>
      <c r="B37" s="508" t="s">
        <v>749</v>
      </c>
      <c r="C37" s="893" t="s">
        <v>726</v>
      </c>
      <c r="D37" s="496" t="s">
        <v>175</v>
      </c>
      <c r="E37" s="497">
        <v>1</v>
      </c>
      <c r="F37" s="498"/>
      <c r="G37" s="550">
        <f>$E37*F37</f>
        <v>0</v>
      </c>
    </row>
    <row r="38" spans="1:7" s="499" customFormat="1" ht="29.25" customHeight="1">
      <c r="A38" s="549" t="s">
        <v>50</v>
      </c>
      <c r="B38" s="508" t="s">
        <v>750</v>
      </c>
      <c r="C38" s="893" t="s">
        <v>727</v>
      </c>
      <c r="D38" s="496" t="s">
        <v>175</v>
      </c>
      <c r="E38" s="497">
        <v>1</v>
      </c>
      <c r="F38" s="498"/>
      <c r="G38" s="550">
        <f aca="true" t="shared" si="0" ref="G38:G47">$E38*F38</f>
        <v>0</v>
      </c>
    </row>
    <row r="39" spans="1:7" s="499" customFormat="1" ht="29.25" customHeight="1">
      <c r="A39" s="549" t="s">
        <v>53</v>
      </c>
      <c r="B39" s="508" t="s">
        <v>751</v>
      </c>
      <c r="C39" s="893" t="s">
        <v>728</v>
      </c>
      <c r="D39" s="496" t="s">
        <v>175</v>
      </c>
      <c r="E39" s="497">
        <v>1</v>
      </c>
      <c r="F39" s="498"/>
      <c r="G39" s="550">
        <f t="shared" si="0"/>
        <v>0</v>
      </c>
    </row>
    <row r="40" spans="1:7" s="499" customFormat="1" ht="22.5" customHeight="1">
      <c r="A40" s="549" t="s">
        <v>56</v>
      </c>
      <c r="B40" s="508" t="s">
        <v>752</v>
      </c>
      <c r="C40" s="893" t="s">
        <v>729</v>
      </c>
      <c r="D40" s="496" t="s">
        <v>175</v>
      </c>
      <c r="E40" s="497">
        <v>1</v>
      </c>
      <c r="F40" s="498"/>
      <c r="G40" s="550">
        <f t="shared" si="0"/>
        <v>0</v>
      </c>
    </row>
    <row r="41" spans="1:7" s="499" customFormat="1" ht="29.25" customHeight="1">
      <c r="A41" s="549" t="s">
        <v>58</v>
      </c>
      <c r="B41" s="508" t="s">
        <v>117</v>
      </c>
      <c r="C41" s="893" t="s">
        <v>730</v>
      </c>
      <c r="D41" s="496" t="s">
        <v>161</v>
      </c>
      <c r="E41" s="497">
        <v>3</v>
      </c>
      <c r="F41" s="498"/>
      <c r="G41" s="550">
        <f t="shared" si="0"/>
        <v>0</v>
      </c>
    </row>
    <row r="42" spans="1:7" s="499" customFormat="1" ht="22.5" customHeight="1">
      <c r="A42" s="549" t="s">
        <v>61</v>
      </c>
      <c r="B42" s="508" t="s">
        <v>119</v>
      </c>
      <c r="C42" s="893" t="s">
        <v>731</v>
      </c>
      <c r="D42" s="496" t="s">
        <v>175</v>
      </c>
      <c r="E42" s="497">
        <v>3</v>
      </c>
      <c r="F42" s="498"/>
      <c r="G42" s="550">
        <f t="shared" si="0"/>
        <v>0</v>
      </c>
    </row>
    <row r="43" spans="1:7" s="499" customFormat="1" ht="59.25" customHeight="1">
      <c r="A43" s="549" t="s">
        <v>63</v>
      </c>
      <c r="B43" s="508" t="s">
        <v>753</v>
      </c>
      <c r="C43" s="893" t="s">
        <v>853</v>
      </c>
      <c r="D43" s="496" t="s">
        <v>175</v>
      </c>
      <c r="E43" s="497">
        <v>1</v>
      </c>
      <c r="F43" s="498"/>
      <c r="G43" s="550">
        <f t="shared" si="0"/>
        <v>0</v>
      </c>
    </row>
    <row r="44" spans="1:7" s="499" customFormat="1" ht="29.25" customHeight="1">
      <c r="A44" s="549" t="s">
        <v>64</v>
      </c>
      <c r="B44" s="508"/>
      <c r="C44" s="893" t="s">
        <v>735</v>
      </c>
      <c r="D44" s="496" t="s">
        <v>158</v>
      </c>
      <c r="E44" s="497">
        <v>4</v>
      </c>
      <c r="F44" s="498"/>
      <c r="G44" s="550">
        <f t="shared" si="0"/>
        <v>0</v>
      </c>
    </row>
    <row r="45" spans="1:7" s="499" customFormat="1" ht="22.5" customHeight="1">
      <c r="A45" s="549" t="s">
        <v>66</v>
      </c>
      <c r="B45" s="507"/>
      <c r="C45" s="893" t="s">
        <v>732</v>
      </c>
      <c r="D45" s="496" t="s">
        <v>158</v>
      </c>
      <c r="E45" s="497">
        <v>6</v>
      </c>
      <c r="F45" s="498"/>
      <c r="G45" s="550">
        <f t="shared" si="0"/>
        <v>0</v>
      </c>
    </row>
    <row r="46" spans="1:7" s="499" customFormat="1" ht="22.5" customHeight="1">
      <c r="A46" s="549" t="s">
        <v>70</v>
      </c>
      <c r="B46" s="507"/>
      <c r="C46" s="893" t="s">
        <v>733</v>
      </c>
      <c r="D46" s="496" t="s">
        <v>158</v>
      </c>
      <c r="E46" s="497">
        <v>1</v>
      </c>
      <c r="F46" s="498"/>
      <c r="G46" s="550">
        <f t="shared" si="0"/>
        <v>0</v>
      </c>
    </row>
    <row r="47" spans="1:7" s="499" customFormat="1" ht="22.5" customHeight="1">
      <c r="A47" s="549" t="s">
        <v>74</v>
      </c>
      <c r="B47" s="507"/>
      <c r="C47" s="893" t="s">
        <v>734</v>
      </c>
      <c r="D47" s="496" t="s">
        <v>158</v>
      </c>
      <c r="E47" s="497">
        <v>3</v>
      </c>
      <c r="F47" s="498"/>
      <c r="G47" s="550">
        <f t="shared" si="0"/>
        <v>0</v>
      </c>
    </row>
    <row r="48" spans="1:7" ht="14" thickBot="1">
      <c r="A48" s="551"/>
      <c r="B48" s="412"/>
      <c r="C48" s="220"/>
      <c r="D48" s="221"/>
      <c r="E48" s="413"/>
      <c r="F48" s="414"/>
      <c r="G48" s="552"/>
    </row>
    <row r="49" spans="1:7" ht="19.5" customHeight="1" thickBot="1">
      <c r="A49" s="553"/>
      <c r="B49" s="226"/>
      <c r="C49" s="227" t="s">
        <v>113</v>
      </c>
      <c r="D49" s="226"/>
      <c r="E49" s="416"/>
      <c r="F49" s="417"/>
      <c r="G49" s="554">
        <f>SUBTOTAL(9,G35:G48)</f>
        <v>0</v>
      </c>
    </row>
    <row r="50" spans="1:7" ht="13" thickBot="1">
      <c r="A50" s="543"/>
      <c r="B50" s="180"/>
      <c r="C50" s="180"/>
      <c r="D50" s="180"/>
      <c r="E50" s="180"/>
      <c r="F50" s="180"/>
      <c r="G50" s="544"/>
    </row>
    <row r="51" spans="1:7" ht="17.25" customHeight="1" thickBot="1">
      <c r="A51" s="545" t="s">
        <v>100</v>
      </c>
      <c r="B51" s="183"/>
      <c r="C51" s="184" t="s">
        <v>736</v>
      </c>
      <c r="D51" s="397"/>
      <c r="E51" s="398"/>
      <c r="F51" s="187"/>
      <c r="G51" s="546"/>
    </row>
    <row r="52" spans="1:7" ht="12.75">
      <c r="A52" s="547"/>
      <c r="B52" s="400"/>
      <c r="C52" s="232"/>
      <c r="D52" s="233"/>
      <c r="E52" s="401"/>
      <c r="F52" s="402"/>
      <c r="G52" s="548"/>
    </row>
    <row r="53" spans="1:7" s="505" customFormat="1" ht="34.5" customHeight="1">
      <c r="A53" s="549" t="s">
        <v>115</v>
      </c>
      <c r="B53" s="509" t="s">
        <v>754</v>
      </c>
      <c r="C53" s="502" t="s">
        <v>737</v>
      </c>
      <c r="D53" s="503" t="s">
        <v>116</v>
      </c>
      <c r="E53" s="504">
        <v>7</v>
      </c>
      <c r="F53" s="504"/>
      <c r="G53" s="550">
        <f>$E53*F53</f>
        <v>0</v>
      </c>
    </row>
    <row r="54" spans="1:7" s="505" customFormat="1" ht="20.25" customHeight="1">
      <c r="A54" s="549" t="s">
        <v>117</v>
      </c>
      <c r="B54" s="509" t="s">
        <v>755</v>
      </c>
      <c r="C54" s="502" t="s">
        <v>738</v>
      </c>
      <c r="D54" s="503" t="s">
        <v>158</v>
      </c>
      <c r="E54" s="504">
        <v>1</v>
      </c>
      <c r="F54" s="504"/>
      <c r="G54" s="550">
        <f>$E54*F54</f>
        <v>0</v>
      </c>
    </row>
    <row r="55" spans="1:7" s="505" customFormat="1" ht="20.25" customHeight="1">
      <c r="A55" s="549" t="s">
        <v>119</v>
      </c>
      <c r="B55" s="509"/>
      <c r="C55" s="502" t="s">
        <v>854</v>
      </c>
      <c r="D55" s="503" t="s">
        <v>158</v>
      </c>
      <c r="E55" s="504">
        <v>1</v>
      </c>
      <c r="F55" s="504"/>
      <c r="G55" s="550">
        <f>$E55*F55</f>
        <v>0</v>
      </c>
    </row>
    <row r="56" spans="1:7" s="505" customFormat="1" ht="20.25" customHeight="1">
      <c r="A56" s="549" t="s">
        <v>295</v>
      </c>
      <c r="B56" s="509"/>
      <c r="C56" s="502" t="s">
        <v>739</v>
      </c>
      <c r="D56" s="503" t="s">
        <v>46</v>
      </c>
      <c r="E56" s="504">
        <v>10</v>
      </c>
      <c r="F56" s="504"/>
      <c r="G56" s="550">
        <f>$E56*F56</f>
        <v>0</v>
      </c>
    </row>
    <row r="57" spans="1:7" s="505" customFormat="1" ht="20.25" customHeight="1">
      <c r="A57" s="549" t="s">
        <v>299</v>
      </c>
      <c r="B57" s="501"/>
      <c r="C57" s="502" t="s">
        <v>740</v>
      </c>
      <c r="D57" s="503" t="s">
        <v>46</v>
      </c>
      <c r="E57" s="504">
        <v>5</v>
      </c>
      <c r="F57" s="504"/>
      <c r="G57" s="550">
        <f>$E57*F57</f>
        <v>0</v>
      </c>
    </row>
    <row r="58" spans="1:7" ht="14" thickBot="1">
      <c r="A58" s="551"/>
      <c r="B58" s="412"/>
      <c r="C58" s="220"/>
      <c r="D58" s="221"/>
      <c r="E58" s="413"/>
      <c r="F58" s="414"/>
      <c r="G58" s="552"/>
    </row>
    <row r="59" spans="1:7" ht="13" thickBot="1">
      <c r="A59" s="553"/>
      <c r="B59" s="226"/>
      <c r="C59" s="227" t="s">
        <v>113</v>
      </c>
      <c r="D59" s="226"/>
      <c r="E59" s="416"/>
      <c r="F59" s="417"/>
      <c r="G59" s="554">
        <f>SUBTOTAL(9,G52:G58)</f>
        <v>0</v>
      </c>
    </row>
    <row r="60" spans="1:7" ht="13" thickBot="1">
      <c r="A60" s="543"/>
      <c r="B60" s="180"/>
      <c r="C60" s="180"/>
      <c r="D60" s="180"/>
      <c r="E60" s="180"/>
      <c r="F60" s="180"/>
      <c r="G60" s="544"/>
    </row>
    <row r="61" spans="1:7" ht="17.25" customHeight="1" thickBot="1">
      <c r="A61" s="545" t="s">
        <v>121</v>
      </c>
      <c r="B61" s="183"/>
      <c r="C61" s="184" t="s">
        <v>741</v>
      </c>
      <c r="D61" s="397"/>
      <c r="E61" s="398"/>
      <c r="F61" s="187"/>
      <c r="G61" s="546"/>
    </row>
    <row r="62" spans="1:7" ht="12.75">
      <c r="A62" s="547"/>
      <c r="B62" s="400"/>
      <c r="C62" s="232"/>
      <c r="D62" s="233"/>
      <c r="E62" s="401"/>
      <c r="F62" s="402"/>
      <c r="G62" s="548"/>
    </row>
    <row r="63" spans="1:7" s="505" customFormat="1" ht="34.5" customHeight="1">
      <c r="A63" s="549" t="s">
        <v>123</v>
      </c>
      <c r="B63" s="509" t="s">
        <v>756</v>
      </c>
      <c r="C63" s="502" t="s">
        <v>742</v>
      </c>
      <c r="D63" s="503" t="s">
        <v>116</v>
      </c>
      <c r="E63" s="504">
        <v>4</v>
      </c>
      <c r="F63" s="504"/>
      <c r="G63" s="550">
        <f aca="true" t="shared" si="1" ref="G63:G68">$E63*F63</f>
        <v>0</v>
      </c>
    </row>
    <row r="64" spans="1:7" s="505" customFormat="1" ht="34.5" customHeight="1">
      <c r="A64" s="549" t="s">
        <v>124</v>
      </c>
      <c r="B64" s="509" t="s">
        <v>754</v>
      </c>
      <c r="C64" s="502" t="s">
        <v>737</v>
      </c>
      <c r="D64" s="503" t="s">
        <v>116</v>
      </c>
      <c r="E64" s="504">
        <v>1</v>
      </c>
      <c r="F64" s="504"/>
      <c r="G64" s="550">
        <f t="shared" si="1"/>
        <v>0</v>
      </c>
    </row>
    <row r="65" spans="1:7" s="505" customFormat="1" ht="18.75" customHeight="1">
      <c r="A65" s="549" t="s">
        <v>125</v>
      </c>
      <c r="B65" s="509" t="s">
        <v>755</v>
      </c>
      <c r="C65" s="502" t="s">
        <v>738</v>
      </c>
      <c r="D65" s="503" t="s">
        <v>158</v>
      </c>
      <c r="E65" s="504">
        <v>1</v>
      </c>
      <c r="F65" s="504"/>
      <c r="G65" s="550">
        <f t="shared" si="1"/>
        <v>0</v>
      </c>
    </row>
    <row r="66" spans="1:7" s="505" customFormat="1" ht="18.75" customHeight="1">
      <c r="A66" s="549" t="s">
        <v>126</v>
      </c>
      <c r="B66" s="509"/>
      <c r="C66" s="502" t="s">
        <v>854</v>
      </c>
      <c r="D66" s="503" t="s">
        <v>158</v>
      </c>
      <c r="E66" s="504">
        <v>1</v>
      </c>
      <c r="F66" s="504"/>
      <c r="G66" s="550">
        <f t="shared" si="1"/>
        <v>0</v>
      </c>
    </row>
    <row r="67" spans="1:7" s="505" customFormat="1" ht="18.75" customHeight="1">
      <c r="A67" s="549" t="s">
        <v>127</v>
      </c>
      <c r="B67" s="509"/>
      <c r="C67" s="502" t="s">
        <v>739</v>
      </c>
      <c r="D67" s="503" t="s">
        <v>46</v>
      </c>
      <c r="E67" s="504">
        <v>12</v>
      </c>
      <c r="F67" s="504"/>
      <c r="G67" s="550">
        <f t="shared" si="1"/>
        <v>0</v>
      </c>
    </row>
    <row r="68" spans="1:7" s="505" customFormat="1" ht="30" customHeight="1">
      <c r="A68" s="549" t="s">
        <v>128</v>
      </c>
      <c r="B68" s="509" t="s">
        <v>757</v>
      </c>
      <c r="C68" s="502" t="s">
        <v>743</v>
      </c>
      <c r="D68" s="503" t="s">
        <v>161</v>
      </c>
      <c r="E68" s="504">
        <v>4</v>
      </c>
      <c r="F68" s="504"/>
      <c r="G68" s="550">
        <f t="shared" si="1"/>
        <v>0</v>
      </c>
    </row>
    <row r="69" spans="1:7" s="204" customFormat="1" ht="14" thickBot="1">
      <c r="A69" s="557"/>
      <c r="B69" s="412"/>
      <c r="C69" s="220"/>
      <c r="D69" s="221"/>
      <c r="E69" s="414"/>
      <c r="F69" s="414"/>
      <c r="G69" s="558"/>
    </row>
    <row r="70" spans="1:7" ht="13" thickBot="1">
      <c r="A70" s="553"/>
      <c r="B70" s="226"/>
      <c r="C70" s="227" t="s">
        <v>113</v>
      </c>
      <c r="D70" s="226"/>
      <c r="E70" s="416"/>
      <c r="F70" s="417"/>
      <c r="G70" s="554">
        <f>SUBTOTAL(9,G62:G69)</f>
        <v>0</v>
      </c>
    </row>
    <row r="71" spans="1:7" ht="13" thickBot="1">
      <c r="A71" s="543"/>
      <c r="B71" s="180"/>
      <c r="C71" s="180"/>
      <c r="D71" s="180"/>
      <c r="E71" s="180"/>
      <c r="F71" s="180"/>
      <c r="G71" s="544"/>
    </row>
    <row r="72" spans="1:7" ht="17.25" customHeight="1" thickBot="1">
      <c r="A72" s="545" t="s">
        <v>98</v>
      </c>
      <c r="B72" s="183"/>
      <c r="C72" s="184" t="s">
        <v>758</v>
      </c>
      <c r="D72" s="397"/>
      <c r="E72" s="398"/>
      <c r="F72" s="187"/>
      <c r="G72" s="546"/>
    </row>
    <row r="73" spans="1:7" ht="12.75">
      <c r="A73" s="547"/>
      <c r="B73" s="400"/>
      <c r="C73" s="232"/>
      <c r="D73" s="233"/>
      <c r="E73" s="401"/>
      <c r="F73" s="402"/>
      <c r="G73" s="548"/>
    </row>
    <row r="74" spans="1:7" s="505" customFormat="1" ht="34.5" customHeight="1">
      <c r="A74" s="549" t="s">
        <v>156</v>
      </c>
      <c r="B74" s="509" t="s">
        <v>763</v>
      </c>
      <c r="C74" s="502" t="s">
        <v>855</v>
      </c>
      <c r="D74" s="503" t="s">
        <v>161</v>
      </c>
      <c r="E74" s="504">
        <v>6</v>
      </c>
      <c r="F74" s="504"/>
      <c r="G74" s="550">
        <f aca="true" t="shared" si="2" ref="G74:G96">$E74*F74</f>
        <v>0</v>
      </c>
    </row>
    <row r="75" spans="1:7" s="505" customFormat="1" ht="34.5" customHeight="1">
      <c r="A75" s="549" t="s">
        <v>159</v>
      </c>
      <c r="B75" s="509" t="s">
        <v>764</v>
      </c>
      <c r="C75" s="502" t="s">
        <v>856</v>
      </c>
      <c r="D75" s="503" t="s">
        <v>161</v>
      </c>
      <c r="E75" s="504">
        <v>3</v>
      </c>
      <c r="F75" s="504"/>
      <c r="G75" s="550">
        <f t="shared" si="2"/>
        <v>0</v>
      </c>
    </row>
    <row r="76" spans="1:7" s="505" customFormat="1" ht="34.5" customHeight="1">
      <c r="A76" s="549" t="s">
        <v>162</v>
      </c>
      <c r="B76" s="509" t="s">
        <v>766</v>
      </c>
      <c r="C76" s="502" t="s">
        <v>768</v>
      </c>
      <c r="D76" s="503" t="s">
        <v>161</v>
      </c>
      <c r="E76" s="504">
        <v>1</v>
      </c>
      <c r="F76" s="504"/>
      <c r="G76" s="550">
        <f t="shared" si="2"/>
        <v>0</v>
      </c>
    </row>
    <row r="77" spans="1:7" s="505" customFormat="1" ht="34.5" customHeight="1">
      <c r="A77" s="549" t="s">
        <v>164</v>
      </c>
      <c r="B77" s="509" t="s">
        <v>765</v>
      </c>
      <c r="C77" s="502" t="s">
        <v>857</v>
      </c>
      <c r="D77" s="503" t="s">
        <v>158</v>
      </c>
      <c r="E77" s="504">
        <v>2</v>
      </c>
      <c r="F77" s="504"/>
      <c r="G77" s="550">
        <f t="shared" si="2"/>
        <v>0</v>
      </c>
    </row>
    <row r="78" spans="1:7" s="505" customFormat="1" ht="34.5" customHeight="1">
      <c r="A78" s="549" t="s">
        <v>363</v>
      </c>
      <c r="B78" s="509" t="s">
        <v>767</v>
      </c>
      <c r="C78" s="502" t="s">
        <v>858</v>
      </c>
      <c r="D78" s="503" t="s">
        <v>158</v>
      </c>
      <c r="E78" s="504">
        <v>1</v>
      </c>
      <c r="F78" s="504"/>
      <c r="G78" s="550">
        <f t="shared" si="2"/>
        <v>0</v>
      </c>
    </row>
    <row r="79" spans="1:7" s="505" customFormat="1" ht="21.75" customHeight="1">
      <c r="A79" s="549" t="s">
        <v>364</v>
      </c>
      <c r="B79" s="509" t="s">
        <v>744</v>
      </c>
      <c r="C79" s="502" t="s">
        <v>859</v>
      </c>
      <c r="D79" s="503" t="s">
        <v>116</v>
      </c>
      <c r="E79" s="504">
        <v>6</v>
      </c>
      <c r="F79" s="504"/>
      <c r="G79" s="550">
        <f t="shared" si="2"/>
        <v>0</v>
      </c>
    </row>
    <row r="80" spans="1:7" s="505" customFormat="1" ht="21.75" customHeight="1">
      <c r="A80" s="549" t="s">
        <v>365</v>
      </c>
      <c r="B80" s="509" t="s">
        <v>745</v>
      </c>
      <c r="C80" s="502" t="s">
        <v>860</v>
      </c>
      <c r="D80" s="503" t="s">
        <v>116</v>
      </c>
      <c r="E80" s="504">
        <v>10</v>
      </c>
      <c r="F80" s="504"/>
      <c r="G80" s="550">
        <f t="shared" si="2"/>
        <v>0</v>
      </c>
    </row>
    <row r="81" spans="1:7" s="505" customFormat="1" ht="34.5" customHeight="1">
      <c r="A81" s="549" t="s">
        <v>366</v>
      </c>
      <c r="B81" s="509" t="s">
        <v>746</v>
      </c>
      <c r="C81" s="502" t="s">
        <v>861</v>
      </c>
      <c r="D81" s="503" t="s">
        <v>116</v>
      </c>
      <c r="E81" s="504">
        <v>15</v>
      </c>
      <c r="F81" s="504"/>
      <c r="G81" s="550">
        <f t="shared" si="2"/>
        <v>0</v>
      </c>
    </row>
    <row r="82" spans="1:7" s="505" customFormat="1" ht="34.5" customHeight="1">
      <c r="A82" s="549" t="s">
        <v>367</v>
      </c>
      <c r="B82" s="509" t="s">
        <v>747</v>
      </c>
      <c r="C82" s="502" t="s">
        <v>862</v>
      </c>
      <c r="D82" s="503" t="s">
        <v>116</v>
      </c>
      <c r="E82" s="504">
        <v>34</v>
      </c>
      <c r="F82" s="504"/>
      <c r="G82" s="550">
        <f t="shared" si="2"/>
        <v>0</v>
      </c>
    </row>
    <row r="83" spans="1:7" s="505" customFormat="1" ht="34.5" customHeight="1">
      <c r="A83" s="549" t="s">
        <v>493</v>
      </c>
      <c r="B83" s="509" t="s">
        <v>756</v>
      </c>
      <c r="C83" s="502" t="s">
        <v>864</v>
      </c>
      <c r="D83" s="503" t="s">
        <v>116</v>
      </c>
      <c r="E83" s="504">
        <v>5</v>
      </c>
      <c r="F83" s="504"/>
      <c r="G83" s="550">
        <f t="shared" si="2"/>
        <v>0</v>
      </c>
    </row>
    <row r="84" spans="1:7" s="505" customFormat="1" ht="34.5" customHeight="1">
      <c r="A84" s="549" t="s">
        <v>494</v>
      </c>
      <c r="B84" s="509" t="s">
        <v>759</v>
      </c>
      <c r="C84" s="502" t="s">
        <v>863</v>
      </c>
      <c r="D84" s="503" t="s">
        <v>116</v>
      </c>
      <c r="E84" s="504">
        <v>14</v>
      </c>
      <c r="F84" s="504"/>
      <c r="G84" s="550">
        <f t="shared" si="2"/>
        <v>0</v>
      </c>
    </row>
    <row r="85" spans="1:7" s="505" customFormat="1" ht="34.5" customHeight="1">
      <c r="A85" s="549" t="s">
        <v>495</v>
      </c>
      <c r="B85" s="509" t="s">
        <v>754</v>
      </c>
      <c r="C85" s="502" t="s">
        <v>865</v>
      </c>
      <c r="D85" s="503" t="s">
        <v>116</v>
      </c>
      <c r="E85" s="504">
        <v>13</v>
      </c>
      <c r="F85" s="504"/>
      <c r="G85" s="550">
        <f t="shared" si="2"/>
        <v>0</v>
      </c>
    </row>
    <row r="86" spans="1:7" s="505" customFormat="1" ht="34.5" customHeight="1">
      <c r="A86" s="549" t="s">
        <v>496</v>
      </c>
      <c r="B86" s="509" t="s">
        <v>760</v>
      </c>
      <c r="C86" s="502" t="s">
        <v>866</v>
      </c>
      <c r="D86" s="503" t="s">
        <v>116</v>
      </c>
      <c r="E86" s="504">
        <v>26</v>
      </c>
      <c r="F86" s="504"/>
      <c r="G86" s="550">
        <f t="shared" si="2"/>
        <v>0</v>
      </c>
    </row>
    <row r="87" spans="1:7" s="505" customFormat="1" ht="34.5" customHeight="1">
      <c r="A87" s="549" t="s">
        <v>497</v>
      </c>
      <c r="B87" s="509" t="s">
        <v>761</v>
      </c>
      <c r="C87" s="502" t="s">
        <v>869</v>
      </c>
      <c r="D87" s="503" t="s">
        <v>116</v>
      </c>
      <c r="E87" s="504">
        <v>6</v>
      </c>
      <c r="F87" s="504"/>
      <c r="G87" s="550">
        <f t="shared" si="2"/>
        <v>0</v>
      </c>
    </row>
    <row r="88" spans="1:7" s="505" customFormat="1" ht="34.5" customHeight="1">
      <c r="A88" s="549" t="s">
        <v>498</v>
      </c>
      <c r="B88" s="509" t="s">
        <v>666</v>
      </c>
      <c r="C88" s="502" t="s">
        <v>868</v>
      </c>
      <c r="D88" s="503" t="s">
        <v>116</v>
      </c>
      <c r="E88" s="504">
        <v>12</v>
      </c>
      <c r="F88" s="504"/>
      <c r="G88" s="550">
        <f t="shared" si="2"/>
        <v>0</v>
      </c>
    </row>
    <row r="89" spans="1:7" s="505" customFormat="1" ht="34.5" customHeight="1">
      <c r="A89" s="549" t="s">
        <v>499</v>
      </c>
      <c r="B89" s="509" t="s">
        <v>656</v>
      </c>
      <c r="C89" s="502" t="s">
        <v>867</v>
      </c>
      <c r="D89" s="503" t="s">
        <v>116</v>
      </c>
      <c r="E89" s="504">
        <v>24</v>
      </c>
      <c r="F89" s="504"/>
      <c r="G89" s="550">
        <f t="shared" si="2"/>
        <v>0</v>
      </c>
    </row>
    <row r="90" spans="1:7" s="505" customFormat="1" ht="34.5" customHeight="1">
      <c r="A90" s="549" t="s">
        <v>500</v>
      </c>
      <c r="B90" s="509" t="s">
        <v>762</v>
      </c>
      <c r="C90" s="502" t="s">
        <v>870</v>
      </c>
      <c r="D90" s="503" t="s">
        <v>116</v>
      </c>
      <c r="E90" s="504">
        <v>10</v>
      </c>
      <c r="F90" s="504"/>
      <c r="G90" s="550">
        <f t="shared" si="2"/>
        <v>0</v>
      </c>
    </row>
    <row r="91" spans="1:7" s="505" customFormat="1" ht="34.5" customHeight="1">
      <c r="A91" s="549" t="s">
        <v>501</v>
      </c>
      <c r="B91" s="509" t="s">
        <v>153</v>
      </c>
      <c r="C91" s="502" t="s">
        <v>871</v>
      </c>
      <c r="D91" s="503" t="s">
        <v>116</v>
      </c>
      <c r="E91" s="504">
        <v>16</v>
      </c>
      <c r="F91" s="504"/>
      <c r="G91" s="550">
        <f t="shared" si="2"/>
        <v>0</v>
      </c>
    </row>
    <row r="92" spans="1:7" s="505" customFormat="1" ht="20.25" customHeight="1">
      <c r="A92" s="549" t="s">
        <v>655</v>
      </c>
      <c r="B92" s="509"/>
      <c r="C92" s="502" t="s">
        <v>771</v>
      </c>
      <c r="D92" s="503" t="s">
        <v>158</v>
      </c>
      <c r="E92" s="504">
        <v>6</v>
      </c>
      <c r="F92" s="504"/>
      <c r="G92" s="550">
        <f t="shared" si="2"/>
        <v>0</v>
      </c>
    </row>
    <row r="93" spans="1:7" s="505" customFormat="1" ht="34.5" customHeight="1">
      <c r="A93" s="549" t="s">
        <v>656</v>
      </c>
      <c r="B93" s="509" t="s">
        <v>757</v>
      </c>
      <c r="C93" s="502" t="s">
        <v>872</v>
      </c>
      <c r="D93" s="503" t="s">
        <v>161</v>
      </c>
      <c r="E93" s="504">
        <v>4</v>
      </c>
      <c r="F93" s="504"/>
      <c r="G93" s="550">
        <f t="shared" si="2"/>
        <v>0</v>
      </c>
    </row>
    <row r="94" spans="1:7" s="505" customFormat="1" ht="24" customHeight="1">
      <c r="A94" s="549" t="s">
        <v>657</v>
      </c>
      <c r="B94" s="509"/>
      <c r="C94" s="502" t="s">
        <v>739</v>
      </c>
      <c r="D94" s="503" t="s">
        <v>46</v>
      </c>
      <c r="E94" s="504">
        <v>98</v>
      </c>
      <c r="F94" s="504"/>
      <c r="G94" s="550">
        <f t="shared" si="2"/>
        <v>0</v>
      </c>
    </row>
    <row r="95" spans="1:7" s="505" customFormat="1" ht="24" customHeight="1">
      <c r="A95" s="549" t="s">
        <v>658</v>
      </c>
      <c r="B95" s="509"/>
      <c r="C95" s="502" t="s">
        <v>873</v>
      </c>
      <c r="D95" s="503" t="s">
        <v>46</v>
      </c>
      <c r="E95" s="504">
        <v>74</v>
      </c>
      <c r="F95" s="504"/>
      <c r="G95" s="550">
        <f t="shared" si="2"/>
        <v>0</v>
      </c>
    </row>
    <row r="96" spans="1:7" s="505" customFormat="1" ht="24" customHeight="1">
      <c r="A96" s="549" t="s">
        <v>659</v>
      </c>
      <c r="B96" s="501"/>
      <c r="C96" s="502" t="s">
        <v>772</v>
      </c>
      <c r="D96" s="503" t="s">
        <v>158</v>
      </c>
      <c r="E96" s="504">
        <v>1</v>
      </c>
      <c r="F96" s="504"/>
      <c r="G96" s="550">
        <f t="shared" si="2"/>
        <v>0</v>
      </c>
    </row>
    <row r="97" spans="1:7" s="204" customFormat="1" ht="14" thickBot="1">
      <c r="A97" s="557"/>
      <c r="B97" s="412"/>
      <c r="C97" s="220"/>
      <c r="D97" s="221"/>
      <c r="E97" s="414"/>
      <c r="F97" s="414"/>
      <c r="G97" s="558"/>
    </row>
    <row r="98" spans="1:7" ht="13" thickBot="1">
      <c r="A98" s="553"/>
      <c r="B98" s="226"/>
      <c r="C98" s="227" t="s">
        <v>113</v>
      </c>
      <c r="D98" s="226"/>
      <c r="E98" s="416"/>
      <c r="F98" s="417"/>
      <c r="G98" s="554">
        <f>SUBTOTAL(9,G73:G97)</f>
        <v>0</v>
      </c>
    </row>
    <row r="99" spans="1:7" ht="13" thickBot="1">
      <c r="A99" s="543"/>
      <c r="B99" s="180"/>
      <c r="C99" s="180"/>
      <c r="D99" s="180"/>
      <c r="E99" s="180"/>
      <c r="F99" s="180"/>
      <c r="G99" s="544"/>
    </row>
    <row r="100" spans="1:7" ht="17.25" customHeight="1" thickBot="1">
      <c r="A100" s="545" t="s">
        <v>166</v>
      </c>
      <c r="B100" s="183"/>
      <c r="C100" s="184" t="s">
        <v>781</v>
      </c>
      <c r="D100" s="397"/>
      <c r="E100" s="398"/>
      <c r="F100" s="187"/>
      <c r="G100" s="546"/>
    </row>
    <row r="101" spans="1:7" ht="12.75">
      <c r="A101" s="547"/>
      <c r="B101" s="400"/>
      <c r="C101" s="232"/>
      <c r="D101" s="233"/>
      <c r="E101" s="401"/>
      <c r="F101" s="402"/>
      <c r="G101" s="548"/>
    </row>
    <row r="102" spans="1:7" s="505" customFormat="1" ht="34.5" customHeight="1">
      <c r="A102" s="549" t="s">
        <v>168</v>
      </c>
      <c r="B102" s="509" t="s">
        <v>791</v>
      </c>
      <c r="C102" s="502" t="s">
        <v>874</v>
      </c>
      <c r="D102" s="503" t="s">
        <v>158</v>
      </c>
      <c r="E102" s="504">
        <v>1</v>
      </c>
      <c r="F102" s="504"/>
      <c r="G102" s="550">
        <f aca="true" t="shared" si="3" ref="G102:G122">$E102*F102</f>
        <v>0</v>
      </c>
    </row>
    <row r="103" spans="1:7" s="505" customFormat="1" ht="34.5" customHeight="1">
      <c r="A103" s="549" t="s">
        <v>268</v>
      </c>
      <c r="B103" s="509" t="s">
        <v>793</v>
      </c>
      <c r="C103" s="502" t="s">
        <v>875</v>
      </c>
      <c r="D103" s="503" t="s">
        <v>158</v>
      </c>
      <c r="E103" s="504">
        <v>1</v>
      </c>
      <c r="F103" s="504"/>
      <c r="G103" s="550">
        <f t="shared" si="3"/>
        <v>0</v>
      </c>
    </row>
    <row r="104" spans="1:7" s="505" customFormat="1" ht="34.5" customHeight="1">
      <c r="A104" s="549" t="s">
        <v>269</v>
      </c>
      <c r="B104" s="509" t="s">
        <v>792</v>
      </c>
      <c r="C104" s="502" t="s">
        <v>876</v>
      </c>
      <c r="D104" s="503" t="s">
        <v>161</v>
      </c>
      <c r="E104" s="504">
        <v>8</v>
      </c>
      <c r="F104" s="504"/>
      <c r="G104" s="550">
        <f t="shared" si="3"/>
        <v>0</v>
      </c>
    </row>
    <row r="105" spans="1:7" s="505" customFormat="1" ht="34.5" customHeight="1">
      <c r="A105" s="549" t="s">
        <v>329</v>
      </c>
      <c r="B105" s="509" t="s">
        <v>773</v>
      </c>
      <c r="C105" s="502" t="s">
        <v>877</v>
      </c>
      <c r="D105" s="503" t="s">
        <v>116</v>
      </c>
      <c r="E105" s="504">
        <v>5</v>
      </c>
      <c r="F105" s="504"/>
      <c r="G105" s="550">
        <f t="shared" si="3"/>
        <v>0</v>
      </c>
    </row>
    <row r="106" spans="1:7" s="505" customFormat="1" ht="34.5" customHeight="1">
      <c r="A106" s="549" t="s">
        <v>330</v>
      </c>
      <c r="B106" s="509" t="s">
        <v>754</v>
      </c>
      <c r="C106" s="502" t="s">
        <v>878</v>
      </c>
      <c r="D106" s="503" t="s">
        <v>116</v>
      </c>
      <c r="E106" s="504">
        <v>6</v>
      </c>
      <c r="F106" s="504"/>
      <c r="G106" s="550">
        <f t="shared" si="3"/>
        <v>0</v>
      </c>
    </row>
    <row r="107" spans="1:7" s="505" customFormat="1" ht="30.75" customHeight="1">
      <c r="A107" s="549" t="s">
        <v>331</v>
      </c>
      <c r="B107" s="509" t="s">
        <v>774</v>
      </c>
      <c r="C107" s="502" t="s">
        <v>879</v>
      </c>
      <c r="D107" s="503" t="s">
        <v>116</v>
      </c>
      <c r="E107" s="504">
        <v>42</v>
      </c>
      <c r="F107" s="504"/>
      <c r="G107" s="550">
        <f t="shared" si="3"/>
        <v>0</v>
      </c>
    </row>
    <row r="108" spans="1:7" s="505" customFormat="1" ht="29.25" customHeight="1">
      <c r="A108" s="549" t="s">
        <v>332</v>
      </c>
      <c r="B108" s="509" t="s">
        <v>761</v>
      </c>
      <c r="C108" s="502" t="s">
        <v>880</v>
      </c>
      <c r="D108" s="503" t="s">
        <v>116</v>
      </c>
      <c r="E108" s="504">
        <v>12</v>
      </c>
      <c r="F108" s="504"/>
      <c r="G108" s="550">
        <f t="shared" si="3"/>
        <v>0</v>
      </c>
    </row>
    <row r="109" spans="1:7" s="505" customFormat="1" ht="34.5" customHeight="1">
      <c r="A109" s="549" t="s">
        <v>333</v>
      </c>
      <c r="B109" s="509" t="s">
        <v>656</v>
      </c>
      <c r="C109" s="502" t="s">
        <v>881</v>
      </c>
      <c r="D109" s="503" t="s">
        <v>116</v>
      </c>
      <c r="E109" s="504">
        <v>10</v>
      </c>
      <c r="F109" s="504"/>
      <c r="G109" s="550">
        <f t="shared" si="3"/>
        <v>0</v>
      </c>
    </row>
    <row r="110" spans="1:7" s="505" customFormat="1" ht="34.5" customHeight="1">
      <c r="A110" s="549" t="s">
        <v>373</v>
      </c>
      <c r="B110" s="509" t="s">
        <v>153</v>
      </c>
      <c r="C110" s="502" t="s">
        <v>882</v>
      </c>
      <c r="D110" s="503" t="s">
        <v>116</v>
      </c>
      <c r="E110" s="504">
        <v>4</v>
      </c>
      <c r="F110" s="504"/>
      <c r="G110" s="550">
        <f t="shared" si="3"/>
        <v>0</v>
      </c>
    </row>
    <row r="111" spans="1:7" s="505" customFormat="1" ht="34.5" customHeight="1">
      <c r="A111" s="549" t="s">
        <v>374</v>
      </c>
      <c r="B111" s="509" t="s">
        <v>775</v>
      </c>
      <c r="C111" s="502" t="s">
        <v>883</v>
      </c>
      <c r="D111" s="503" t="s">
        <v>161</v>
      </c>
      <c r="E111" s="504">
        <v>4</v>
      </c>
      <c r="F111" s="504"/>
      <c r="G111" s="550">
        <f t="shared" si="3"/>
        <v>0</v>
      </c>
    </row>
    <row r="112" spans="1:7" s="505" customFormat="1" ht="20.25" customHeight="1">
      <c r="A112" s="549" t="s">
        <v>376</v>
      </c>
      <c r="B112" s="509" t="s">
        <v>776</v>
      </c>
      <c r="C112" s="502" t="s">
        <v>848</v>
      </c>
      <c r="D112" s="503" t="s">
        <v>116</v>
      </c>
      <c r="E112" s="504">
        <v>18</v>
      </c>
      <c r="F112" s="504"/>
      <c r="G112" s="550">
        <f t="shared" si="3"/>
        <v>0</v>
      </c>
    </row>
    <row r="113" spans="1:7" s="505" customFormat="1" ht="20.25" customHeight="1">
      <c r="A113" s="549" t="s">
        <v>378</v>
      </c>
      <c r="B113" s="905" t="s">
        <v>777</v>
      </c>
      <c r="C113" s="502" t="s">
        <v>849</v>
      </c>
      <c r="D113" s="503" t="s">
        <v>116</v>
      </c>
      <c r="E113" s="504">
        <v>16</v>
      </c>
      <c r="F113" s="504"/>
      <c r="G113" s="550">
        <f t="shared" si="3"/>
        <v>0</v>
      </c>
    </row>
    <row r="114" spans="1:7" s="505" customFormat="1" ht="20.25" customHeight="1">
      <c r="A114" s="549" t="s">
        <v>380</v>
      </c>
      <c r="B114" s="905" t="s">
        <v>778</v>
      </c>
      <c r="C114" s="502" t="s">
        <v>850</v>
      </c>
      <c r="D114" s="503" t="s">
        <v>116</v>
      </c>
      <c r="E114" s="504">
        <v>12</v>
      </c>
      <c r="F114" s="504"/>
      <c r="G114" s="550">
        <f t="shared" si="3"/>
        <v>0</v>
      </c>
    </row>
    <row r="115" spans="1:7" s="505" customFormat="1" ht="26.25" customHeight="1">
      <c r="A115" s="549" t="s">
        <v>382</v>
      </c>
      <c r="B115" s="905" t="s">
        <v>746</v>
      </c>
      <c r="C115" s="502" t="s">
        <v>884</v>
      </c>
      <c r="D115" s="503" t="s">
        <v>116</v>
      </c>
      <c r="E115" s="504">
        <v>6</v>
      </c>
      <c r="F115" s="504"/>
      <c r="G115" s="550">
        <f t="shared" si="3"/>
        <v>0</v>
      </c>
    </row>
    <row r="116" spans="1:7" s="505" customFormat="1" ht="24.75" customHeight="1">
      <c r="A116" s="549" t="s">
        <v>782</v>
      </c>
      <c r="B116" s="905" t="s">
        <v>779</v>
      </c>
      <c r="C116" s="502" t="s">
        <v>885</v>
      </c>
      <c r="D116" s="503" t="s">
        <v>116</v>
      </c>
      <c r="E116" s="504">
        <v>12</v>
      </c>
      <c r="F116" s="504"/>
      <c r="G116" s="550">
        <f t="shared" si="3"/>
        <v>0</v>
      </c>
    </row>
    <row r="117" spans="1:7" s="505" customFormat="1" ht="24.75" customHeight="1">
      <c r="A117" s="549" t="s">
        <v>783</v>
      </c>
      <c r="B117" s="905" t="s">
        <v>780</v>
      </c>
      <c r="C117" s="502" t="s">
        <v>886</v>
      </c>
      <c r="D117" s="503" t="s">
        <v>116</v>
      </c>
      <c r="E117" s="504">
        <v>24</v>
      </c>
      <c r="F117" s="504"/>
      <c r="G117" s="550">
        <f t="shared" si="3"/>
        <v>0</v>
      </c>
    </row>
    <row r="118" spans="1:7" s="505" customFormat="1" ht="34.5" customHeight="1">
      <c r="A118" s="549" t="s">
        <v>784</v>
      </c>
      <c r="B118" s="905" t="s">
        <v>794</v>
      </c>
      <c r="C118" s="502" t="s">
        <v>846</v>
      </c>
      <c r="D118" s="503" t="s">
        <v>158</v>
      </c>
      <c r="E118" s="504">
        <v>8</v>
      </c>
      <c r="F118" s="504"/>
      <c r="G118" s="550">
        <f t="shared" si="3"/>
        <v>0</v>
      </c>
    </row>
    <row r="119" spans="1:7" s="505" customFormat="1" ht="34.5" customHeight="1">
      <c r="A119" s="549" t="s">
        <v>785</v>
      </c>
      <c r="B119" s="905" t="s">
        <v>795</v>
      </c>
      <c r="C119" s="502" t="s">
        <v>790</v>
      </c>
      <c r="D119" s="503" t="s">
        <v>158</v>
      </c>
      <c r="E119" s="504">
        <v>4</v>
      </c>
      <c r="F119" s="504"/>
      <c r="G119" s="550">
        <f t="shared" si="3"/>
        <v>0</v>
      </c>
    </row>
    <row r="120" spans="1:7" s="505" customFormat="1" ht="20.25" customHeight="1">
      <c r="A120" s="549" t="s">
        <v>786</v>
      </c>
      <c r="B120" s="905"/>
      <c r="C120" s="502" t="s">
        <v>739</v>
      </c>
      <c r="D120" s="503" t="s">
        <v>46</v>
      </c>
      <c r="E120" s="504">
        <v>25</v>
      </c>
      <c r="F120" s="504"/>
      <c r="G120" s="550">
        <f t="shared" si="3"/>
        <v>0</v>
      </c>
    </row>
    <row r="121" spans="1:7" s="505" customFormat="1" ht="24" customHeight="1">
      <c r="A121" s="549" t="s">
        <v>761</v>
      </c>
      <c r="B121" s="905"/>
      <c r="C121" s="502" t="s">
        <v>873</v>
      </c>
      <c r="D121" s="503" t="s">
        <v>46</v>
      </c>
      <c r="E121" s="504">
        <v>24</v>
      </c>
      <c r="F121" s="504"/>
      <c r="G121" s="550">
        <f t="shared" si="3"/>
        <v>0</v>
      </c>
    </row>
    <row r="122" spans="1:7" s="505" customFormat="1" ht="24" customHeight="1">
      <c r="A122" s="549" t="s">
        <v>787</v>
      </c>
      <c r="B122" s="501"/>
      <c r="C122" s="502" t="s">
        <v>772</v>
      </c>
      <c r="D122" s="503" t="s">
        <v>158</v>
      </c>
      <c r="E122" s="504">
        <v>1</v>
      </c>
      <c r="F122" s="504"/>
      <c r="G122" s="550">
        <f t="shared" si="3"/>
        <v>0</v>
      </c>
    </row>
    <row r="123" spans="1:7" s="204" customFormat="1" ht="14" thickBot="1">
      <c r="A123" s="557"/>
      <c r="B123" s="412"/>
      <c r="C123" s="220"/>
      <c r="D123" s="221"/>
      <c r="E123" s="414"/>
      <c r="F123" s="414"/>
      <c r="G123" s="558"/>
    </row>
    <row r="124" spans="1:7" ht="13" thickBot="1">
      <c r="A124" s="553"/>
      <c r="B124" s="226"/>
      <c r="C124" s="227" t="s">
        <v>113</v>
      </c>
      <c r="D124" s="226"/>
      <c r="E124" s="416"/>
      <c r="F124" s="417"/>
      <c r="G124" s="554">
        <f>SUBTOTAL(9,G101:G123)</f>
        <v>0</v>
      </c>
    </row>
    <row r="125" spans="1:7" ht="13" thickBot="1">
      <c r="A125" s="543"/>
      <c r="B125" s="180"/>
      <c r="C125" s="180"/>
      <c r="D125" s="180"/>
      <c r="E125" s="180"/>
      <c r="F125" s="180"/>
      <c r="G125" s="544"/>
    </row>
    <row r="126" spans="1:7" ht="17.25" customHeight="1" thickBot="1">
      <c r="A126" s="545" t="s">
        <v>170</v>
      </c>
      <c r="B126" s="183"/>
      <c r="C126" s="184" t="s">
        <v>796</v>
      </c>
      <c r="D126" s="397"/>
      <c r="E126" s="398"/>
      <c r="F126" s="187"/>
      <c r="G126" s="546"/>
    </row>
    <row r="127" spans="1:7" ht="12.75">
      <c r="A127" s="547"/>
      <c r="B127" s="400"/>
      <c r="C127" s="232"/>
      <c r="D127" s="233"/>
      <c r="E127" s="401"/>
      <c r="F127" s="402"/>
      <c r="G127" s="548"/>
    </row>
    <row r="128" spans="1:7" s="505" customFormat="1" ht="34.5" customHeight="1">
      <c r="A128" s="549" t="s">
        <v>171</v>
      </c>
      <c r="B128" s="509" t="s">
        <v>797</v>
      </c>
      <c r="C128" s="502" t="s">
        <v>801</v>
      </c>
      <c r="D128" s="503" t="s">
        <v>158</v>
      </c>
      <c r="E128" s="504">
        <v>1</v>
      </c>
      <c r="F128" s="504"/>
      <c r="G128" s="550">
        <f>$E128*F128</f>
        <v>0</v>
      </c>
    </row>
    <row r="129" spans="1:7" s="505" customFormat="1" ht="34.5" customHeight="1">
      <c r="A129" s="549" t="s">
        <v>172</v>
      </c>
      <c r="B129" s="509" t="s">
        <v>798</v>
      </c>
      <c r="C129" s="502" t="s">
        <v>802</v>
      </c>
      <c r="D129" s="503" t="s">
        <v>158</v>
      </c>
      <c r="E129" s="504">
        <v>2</v>
      </c>
      <c r="F129" s="504"/>
      <c r="G129" s="550">
        <f>$E129*F129</f>
        <v>0</v>
      </c>
    </row>
    <row r="130" spans="1:7" s="505" customFormat="1" ht="34.5" customHeight="1">
      <c r="A130" s="549" t="s">
        <v>173</v>
      </c>
      <c r="B130" s="509" t="s">
        <v>799</v>
      </c>
      <c r="C130" s="502" t="s">
        <v>803</v>
      </c>
      <c r="D130" s="503" t="s">
        <v>158</v>
      </c>
      <c r="E130" s="504">
        <v>1</v>
      </c>
      <c r="F130" s="504"/>
      <c r="G130" s="550">
        <f>$E130*F130</f>
        <v>0</v>
      </c>
    </row>
    <row r="131" spans="1:7" s="505" customFormat="1" ht="34.5" customHeight="1">
      <c r="A131" s="549" t="s">
        <v>174</v>
      </c>
      <c r="B131" s="509" t="s">
        <v>800</v>
      </c>
      <c r="C131" s="502" t="s">
        <v>804</v>
      </c>
      <c r="D131" s="503" t="s">
        <v>158</v>
      </c>
      <c r="E131" s="504">
        <v>1</v>
      </c>
      <c r="F131" s="504"/>
      <c r="G131" s="550">
        <f>$E131*F131</f>
        <v>0</v>
      </c>
    </row>
    <row r="132" spans="1:7" s="505" customFormat="1" ht="20.25" customHeight="1">
      <c r="A132" s="549" t="s">
        <v>176</v>
      </c>
      <c r="B132" s="509"/>
      <c r="C132" s="502" t="s">
        <v>720</v>
      </c>
      <c r="D132" s="503" t="s">
        <v>161</v>
      </c>
      <c r="E132" s="504">
        <v>10</v>
      </c>
      <c r="F132" s="504"/>
      <c r="G132" s="550">
        <f>$E132*F132</f>
        <v>0</v>
      </c>
    </row>
    <row r="133" spans="1:7" s="204" customFormat="1" ht="14" thickBot="1">
      <c r="A133" s="557"/>
      <c r="B133" s="412"/>
      <c r="C133" s="220"/>
      <c r="D133" s="221"/>
      <c r="E133" s="414"/>
      <c r="F133" s="414"/>
      <c r="G133" s="558"/>
    </row>
    <row r="134" spans="1:7" ht="13" thickBot="1">
      <c r="A134" s="553"/>
      <c r="B134" s="226"/>
      <c r="C134" s="227" t="s">
        <v>113</v>
      </c>
      <c r="D134" s="226"/>
      <c r="E134" s="416"/>
      <c r="F134" s="417"/>
      <c r="G134" s="554">
        <f>SUBTOTAL(9,G127:G133)</f>
        <v>0</v>
      </c>
    </row>
    <row r="135" spans="1:7" ht="13" thickBot="1">
      <c r="A135" s="543"/>
      <c r="B135" s="180"/>
      <c r="C135" s="180"/>
      <c r="D135" s="180"/>
      <c r="E135" s="180"/>
      <c r="F135" s="180"/>
      <c r="G135" s="544"/>
    </row>
    <row r="136" spans="1:7" ht="17.25" customHeight="1" thickBot="1">
      <c r="A136" s="545" t="s">
        <v>183</v>
      </c>
      <c r="B136" s="183"/>
      <c r="C136" s="184" t="s">
        <v>805</v>
      </c>
      <c r="D136" s="397"/>
      <c r="E136" s="398"/>
      <c r="F136" s="187"/>
      <c r="G136" s="546"/>
    </row>
    <row r="137" spans="1:7" ht="12.75">
      <c r="A137" s="547"/>
      <c r="B137" s="400"/>
      <c r="C137" s="232"/>
      <c r="D137" s="233"/>
      <c r="E137" s="401"/>
      <c r="F137" s="402"/>
      <c r="G137" s="548"/>
    </row>
    <row r="138" spans="1:7" s="505" customFormat="1" ht="18" customHeight="1">
      <c r="A138" s="549" t="s">
        <v>185</v>
      </c>
      <c r="B138" s="501"/>
      <c r="C138" s="502" t="s">
        <v>806</v>
      </c>
      <c r="D138" s="503" t="s">
        <v>648</v>
      </c>
      <c r="E138" s="504">
        <v>750</v>
      </c>
      <c r="F138" s="504"/>
      <c r="G138" s="550">
        <f>$E138*F138</f>
        <v>0</v>
      </c>
    </row>
    <row r="139" spans="1:7" s="204" customFormat="1" ht="14" thickBot="1">
      <c r="A139" s="557"/>
      <c r="B139" s="412"/>
      <c r="C139" s="220"/>
      <c r="D139" s="221"/>
      <c r="E139" s="414"/>
      <c r="F139" s="414"/>
      <c r="G139" s="558"/>
    </row>
    <row r="140" spans="1:7" ht="13" thickBot="1">
      <c r="A140" s="553"/>
      <c r="B140" s="226"/>
      <c r="C140" s="227" t="s">
        <v>113</v>
      </c>
      <c r="D140" s="226"/>
      <c r="E140" s="416"/>
      <c r="F140" s="417"/>
      <c r="G140" s="554">
        <f>SUBTOTAL(9,G137:G139)</f>
        <v>0</v>
      </c>
    </row>
    <row r="141" spans="1:7" ht="13" thickBot="1">
      <c r="A141" s="543"/>
      <c r="B141" s="180"/>
      <c r="C141" s="180"/>
      <c r="D141" s="180"/>
      <c r="E141" s="180"/>
      <c r="F141" s="180"/>
      <c r="G141" s="544"/>
    </row>
    <row r="142" spans="1:7" ht="17.25" customHeight="1" thickBot="1">
      <c r="A142" s="545" t="s">
        <v>139</v>
      </c>
      <c r="B142" s="183"/>
      <c r="C142" s="184" t="s">
        <v>344</v>
      </c>
      <c r="D142" s="397"/>
      <c r="E142" s="398"/>
      <c r="F142" s="187"/>
      <c r="G142" s="546"/>
    </row>
    <row r="143" spans="1:7" ht="12.75">
      <c r="A143" s="547"/>
      <c r="B143" s="400"/>
      <c r="C143" s="232"/>
      <c r="D143" s="233"/>
      <c r="E143" s="401"/>
      <c r="F143" s="402"/>
      <c r="G143" s="548"/>
    </row>
    <row r="144" spans="1:7" s="505" customFormat="1" ht="18" customHeight="1">
      <c r="A144" s="549" t="s">
        <v>192</v>
      </c>
      <c r="B144" s="501"/>
      <c r="C144" s="502" t="s">
        <v>807</v>
      </c>
      <c r="D144" s="503" t="s">
        <v>116</v>
      </c>
      <c r="E144" s="504">
        <v>353</v>
      </c>
      <c r="F144" s="504"/>
      <c r="G144" s="550">
        <f aca="true" t="shared" si="4" ref="G144:G151">$E144*F144</f>
        <v>0</v>
      </c>
    </row>
    <row r="145" spans="1:7" s="505" customFormat="1" ht="18" customHeight="1">
      <c r="A145" s="549" t="s">
        <v>193</v>
      </c>
      <c r="B145" s="501"/>
      <c r="C145" s="502" t="s">
        <v>887</v>
      </c>
      <c r="D145" s="503" t="s">
        <v>116</v>
      </c>
      <c r="E145" s="504">
        <v>353</v>
      </c>
      <c r="F145" s="504"/>
      <c r="G145" s="550">
        <f t="shared" si="4"/>
        <v>0</v>
      </c>
    </row>
    <row r="146" spans="1:7" s="505" customFormat="1" ht="18" customHeight="1">
      <c r="A146" s="549" t="s">
        <v>194</v>
      </c>
      <c r="B146" s="501"/>
      <c r="C146" s="502" t="s">
        <v>888</v>
      </c>
      <c r="D146" s="503" t="s">
        <v>161</v>
      </c>
      <c r="E146" s="504">
        <v>1</v>
      </c>
      <c r="F146" s="504"/>
      <c r="G146" s="550">
        <f t="shared" si="4"/>
        <v>0</v>
      </c>
    </row>
    <row r="147" spans="1:7" s="505" customFormat="1" ht="18" customHeight="1">
      <c r="A147" s="549" t="s">
        <v>195</v>
      </c>
      <c r="B147" s="501"/>
      <c r="C147" s="502" t="s">
        <v>889</v>
      </c>
      <c r="D147" s="503" t="s">
        <v>161</v>
      </c>
      <c r="E147" s="504">
        <v>3</v>
      </c>
      <c r="F147" s="504"/>
      <c r="G147" s="550">
        <f t="shared" si="4"/>
        <v>0</v>
      </c>
    </row>
    <row r="148" spans="1:7" s="505" customFormat="1" ht="18" customHeight="1">
      <c r="A148" s="549" t="s">
        <v>289</v>
      </c>
      <c r="B148" s="501"/>
      <c r="C148" s="502" t="s">
        <v>808</v>
      </c>
      <c r="D148" s="503" t="s">
        <v>181</v>
      </c>
      <c r="E148" s="504">
        <v>950</v>
      </c>
      <c r="F148" s="504"/>
      <c r="G148" s="550">
        <f t="shared" si="4"/>
        <v>0</v>
      </c>
    </row>
    <row r="149" spans="1:7" s="505" customFormat="1" ht="18" customHeight="1">
      <c r="A149" s="549" t="s">
        <v>290</v>
      </c>
      <c r="B149" s="501"/>
      <c r="C149" s="502" t="s">
        <v>809</v>
      </c>
      <c r="D149" s="503" t="s">
        <v>648</v>
      </c>
      <c r="E149" s="504">
        <v>50</v>
      </c>
      <c r="F149" s="504"/>
      <c r="G149" s="550">
        <f t="shared" si="4"/>
        <v>0</v>
      </c>
    </row>
    <row r="150" spans="1:7" s="505" customFormat="1" ht="18" customHeight="1">
      <c r="A150" s="549" t="s">
        <v>336</v>
      </c>
      <c r="B150" s="501"/>
      <c r="C150" s="502" t="s">
        <v>842</v>
      </c>
      <c r="D150" s="503" t="s">
        <v>648</v>
      </c>
      <c r="E150" s="504">
        <v>70</v>
      </c>
      <c r="F150" s="504"/>
      <c r="G150" s="550">
        <f t="shared" si="4"/>
        <v>0</v>
      </c>
    </row>
    <row r="151" spans="1:7" s="505" customFormat="1" ht="18" customHeight="1">
      <c r="A151" s="549" t="s">
        <v>337</v>
      </c>
      <c r="B151" s="501"/>
      <c r="C151" s="502" t="s">
        <v>810</v>
      </c>
      <c r="D151" s="503" t="s">
        <v>161</v>
      </c>
      <c r="E151" s="504">
        <v>1</v>
      </c>
      <c r="F151" s="504"/>
      <c r="G151" s="550">
        <f t="shared" si="4"/>
        <v>0</v>
      </c>
    </row>
    <row r="152" spans="1:7" s="204" customFormat="1" ht="14" thickBot="1">
      <c r="A152" s="557"/>
      <c r="B152" s="412"/>
      <c r="C152" s="220"/>
      <c r="D152" s="221"/>
      <c r="E152" s="414"/>
      <c r="F152" s="414"/>
      <c r="G152" s="558"/>
    </row>
    <row r="153" spans="1:7" ht="13" thickBot="1">
      <c r="A153" s="553"/>
      <c r="B153" s="226"/>
      <c r="C153" s="227" t="s">
        <v>113</v>
      </c>
      <c r="D153" s="226"/>
      <c r="E153" s="416"/>
      <c r="F153" s="417"/>
      <c r="G153" s="554">
        <f>SUBTOTAL(9,G143:G152)</f>
        <v>0</v>
      </c>
    </row>
    <row r="154" spans="1:7" ht="13" thickBot="1">
      <c r="A154" s="543"/>
      <c r="B154" s="180"/>
      <c r="C154" s="180"/>
      <c r="D154" s="180"/>
      <c r="E154" s="180"/>
      <c r="F154" s="180"/>
      <c r="G154" s="544"/>
    </row>
    <row r="155" spans="1:7" ht="17.25" customHeight="1" thickBot="1">
      <c r="A155" s="545" t="s">
        <v>197</v>
      </c>
      <c r="B155" s="183"/>
      <c r="C155" s="184" t="s">
        <v>811</v>
      </c>
      <c r="D155" s="397"/>
      <c r="E155" s="398"/>
      <c r="F155" s="187"/>
      <c r="G155" s="546"/>
    </row>
    <row r="156" spans="1:7" ht="12.75">
      <c r="A156" s="547"/>
      <c r="B156" s="400"/>
      <c r="C156" s="232"/>
      <c r="D156" s="233"/>
      <c r="E156" s="401"/>
      <c r="F156" s="402"/>
      <c r="G156" s="548"/>
    </row>
    <row r="157" spans="1:7" s="505" customFormat="1" ht="117.75" customHeight="1">
      <c r="A157" s="549" t="s">
        <v>198</v>
      </c>
      <c r="B157" s="501"/>
      <c r="C157" s="502" t="s">
        <v>812</v>
      </c>
      <c r="D157" s="503" t="s">
        <v>158</v>
      </c>
      <c r="E157" s="504">
        <v>24</v>
      </c>
      <c r="F157" s="504"/>
      <c r="G157" s="550">
        <f>$E157*F157</f>
        <v>0</v>
      </c>
    </row>
    <row r="158" spans="1:7" s="505" customFormat="1" ht="31.5" customHeight="1">
      <c r="A158" s="549" t="s">
        <v>199</v>
      </c>
      <c r="B158" s="501"/>
      <c r="C158" s="502" t="s">
        <v>890</v>
      </c>
      <c r="D158" s="503" t="s">
        <v>158</v>
      </c>
      <c r="E158" s="504">
        <v>7</v>
      </c>
      <c r="F158" s="504"/>
      <c r="G158" s="550">
        <f>$E158*F158</f>
        <v>0</v>
      </c>
    </row>
    <row r="159" spans="1:7" s="505" customFormat="1" ht="18" customHeight="1">
      <c r="A159" s="549" t="s">
        <v>201</v>
      </c>
      <c r="B159" s="501"/>
      <c r="C159" s="502" t="s">
        <v>814</v>
      </c>
      <c r="D159" s="503" t="s">
        <v>161</v>
      </c>
      <c r="E159" s="504">
        <v>2</v>
      </c>
      <c r="F159" s="504"/>
      <c r="G159" s="550">
        <f>$E159*F159</f>
        <v>0</v>
      </c>
    </row>
    <row r="160" spans="1:7" s="204" customFormat="1" ht="14" thickBot="1">
      <c r="A160" s="557"/>
      <c r="B160" s="412"/>
      <c r="C160" s="220"/>
      <c r="D160" s="221"/>
      <c r="E160" s="414"/>
      <c r="F160" s="414"/>
      <c r="G160" s="558"/>
    </row>
    <row r="161" spans="1:7" ht="13" thickBot="1">
      <c r="A161" s="553"/>
      <c r="B161" s="226"/>
      <c r="C161" s="227" t="s">
        <v>113</v>
      </c>
      <c r="D161" s="226"/>
      <c r="E161" s="416"/>
      <c r="F161" s="417"/>
      <c r="G161" s="554">
        <f>SUBTOTAL(9,G156:G160)</f>
        <v>0</v>
      </c>
    </row>
    <row r="162" spans="1:7" ht="13" thickBot="1">
      <c r="A162" s="543"/>
      <c r="B162" s="180"/>
      <c r="C162" s="180"/>
      <c r="D162" s="180"/>
      <c r="E162" s="180"/>
      <c r="F162" s="180"/>
      <c r="G162" s="544"/>
    </row>
    <row r="163" spans="1:7" ht="13" thickBot="1">
      <c r="A163" s="545" t="s">
        <v>291</v>
      </c>
      <c r="B163" s="183"/>
      <c r="C163" s="184" t="s">
        <v>338</v>
      </c>
      <c r="D163" s="397"/>
      <c r="E163" s="440"/>
      <c r="F163" s="441"/>
      <c r="G163" s="546"/>
    </row>
    <row r="164" spans="1:7" ht="12.75">
      <c r="A164" s="547"/>
      <c r="B164" s="400"/>
      <c r="C164" s="232"/>
      <c r="D164" s="233"/>
      <c r="E164" s="401"/>
      <c r="F164" s="402"/>
      <c r="G164" s="548"/>
    </row>
    <row r="165" spans="1:7" ht="50.25" customHeight="1">
      <c r="A165" s="561" t="s">
        <v>389</v>
      </c>
      <c r="B165" s="489"/>
      <c r="C165" s="492" t="s">
        <v>247</v>
      </c>
      <c r="D165" s="489"/>
      <c r="E165" s="493"/>
      <c r="F165" s="239"/>
      <c r="G165" s="562">
        <f>$E165*F165</f>
        <v>0</v>
      </c>
    </row>
    <row r="166" spans="1:7" ht="13" thickBot="1">
      <c r="A166" s="559"/>
      <c r="B166" s="153"/>
      <c r="C166" s="299"/>
      <c r="D166" s="153"/>
      <c r="E166" s="450"/>
      <c r="F166" s="451"/>
      <c r="G166" s="560"/>
    </row>
    <row r="167" spans="1:7" ht="13" thickBot="1">
      <c r="A167" s="553"/>
      <c r="B167" s="226"/>
      <c r="C167" s="227" t="s">
        <v>113</v>
      </c>
      <c r="D167" s="226"/>
      <c r="E167" s="303"/>
      <c r="F167" s="304"/>
      <c r="G167" s="554">
        <f>SUBTOTAL(9,G164:G166)</f>
        <v>0</v>
      </c>
    </row>
    <row r="168" spans="1:7" ht="13" thickBot="1">
      <c r="A168" s="543"/>
      <c r="B168" s="180"/>
      <c r="C168" s="180"/>
      <c r="D168" s="180"/>
      <c r="E168" s="180"/>
      <c r="F168" s="180"/>
      <c r="G168" s="544"/>
    </row>
    <row r="169" spans="1:7" ht="27.75" customHeight="1" thickBot="1">
      <c r="A169" s="563"/>
      <c r="B169" s="564"/>
      <c r="C169" s="565" t="s">
        <v>38</v>
      </c>
      <c r="D169" s="566"/>
      <c r="E169" s="566"/>
      <c r="F169" s="566"/>
      <c r="G169" s="567">
        <f>SUBTOTAL(9,G33:G167)</f>
        <v>0</v>
      </c>
    </row>
    <row r="171" spans="1:6" s="480" customFormat="1" ht="12.75">
      <c r="A171" s="72"/>
      <c r="B171" s="491"/>
      <c r="C171" s="491"/>
      <c r="D171" s="75"/>
      <c r="E171" s="76"/>
      <c r="F171" s="76"/>
    </row>
    <row r="172" spans="1:6" s="480" customFormat="1" ht="12.75">
      <c r="A172" s="72"/>
      <c r="B172" s="491"/>
      <c r="C172" s="491"/>
      <c r="D172" s="75"/>
      <c r="E172" s="76"/>
      <c r="F172" s="76"/>
    </row>
    <row r="173" spans="1:6" s="480" customFormat="1" ht="12.75">
      <c r="A173" s="72"/>
      <c r="B173" s="491"/>
      <c r="C173" s="491"/>
      <c r="D173" s="75"/>
      <c r="E173" s="76"/>
      <c r="F173" s="76"/>
    </row>
    <row r="174" spans="1:6" s="480" customFormat="1" ht="12.75">
      <c r="A174" s="72"/>
      <c r="B174" s="491"/>
      <c r="C174" s="491"/>
      <c r="D174" s="75"/>
      <c r="E174" s="76"/>
      <c r="F174" s="76"/>
    </row>
    <row r="175" spans="1:6" s="480" customFormat="1" ht="12.75">
      <c r="A175" s="72"/>
      <c r="B175" s="491"/>
      <c r="C175" s="491"/>
      <c r="D175" s="75"/>
      <c r="E175" s="76"/>
      <c r="F175" s="76"/>
    </row>
    <row r="176" spans="1:6" s="480" customFormat="1" ht="12.75">
      <c r="A176" s="72"/>
      <c r="B176" s="491"/>
      <c r="C176" s="491"/>
      <c r="D176" s="75"/>
      <c r="E176" s="76"/>
      <c r="F176"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G100"/>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5" t="s">
        <v>586</v>
      </c>
      <c r="G3" s="1426"/>
    </row>
    <row r="4" spans="1:7" ht="60.75" customHeight="1" thickBot="1">
      <c r="A4" s="519"/>
      <c r="B4" s="92" t="s">
        <v>19</v>
      </c>
      <c r="C4" s="11" t="s">
        <v>851</v>
      </c>
      <c r="D4" s="94"/>
      <c r="E4" s="94"/>
      <c r="F4" s="1418"/>
      <c r="G4" s="1424"/>
    </row>
    <row r="5" spans="1:7" ht="15" customHeight="1" thickBo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thickBo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A30</f>
        <v>1</v>
      </c>
      <c r="B21" s="161"/>
      <c r="C21" s="162" t="str">
        <f>C30</f>
        <v>Toalety a zázemí kuchyně</v>
      </c>
      <c r="D21" s="164"/>
      <c r="E21" s="164"/>
      <c r="F21" s="165"/>
      <c r="G21" s="540">
        <f>G47</f>
        <v>0</v>
      </c>
    </row>
    <row r="22" spans="1:7" s="125" customFormat="1" ht="17.75" customHeight="1">
      <c r="A22" s="539" t="str">
        <f>A49</f>
        <v>2</v>
      </c>
      <c r="B22" s="161"/>
      <c r="C22" s="162" t="str">
        <f>C49</f>
        <v>Kuchyně</v>
      </c>
      <c r="D22" s="164"/>
      <c r="E22" s="164"/>
      <c r="F22" s="165"/>
      <c r="G22" s="540">
        <f>G58</f>
        <v>0</v>
      </c>
    </row>
    <row r="23" spans="1:7" s="125" customFormat="1" ht="17.75" customHeight="1">
      <c r="A23" s="539" t="str">
        <f>A60</f>
        <v>3</v>
      </c>
      <c r="B23" s="161"/>
      <c r="C23" s="162" t="str">
        <f>C60</f>
        <v>Montáže</v>
      </c>
      <c r="D23" s="164"/>
      <c r="E23" s="164"/>
      <c r="F23" s="165"/>
      <c r="G23" s="540">
        <f>G64</f>
        <v>0</v>
      </c>
    </row>
    <row r="24" spans="1:7" s="125" customFormat="1" ht="17.75" customHeight="1">
      <c r="A24" s="539" t="str">
        <f>A66</f>
        <v>4</v>
      </c>
      <c r="B24" s="161"/>
      <c r="C24" s="162" t="str">
        <f>C66</f>
        <v>Ostatní práce a dodávky</v>
      </c>
      <c r="D24" s="164"/>
      <c r="E24" s="164"/>
      <c r="F24" s="165"/>
      <c r="G24" s="540">
        <f>G76</f>
        <v>0</v>
      </c>
    </row>
    <row r="25" spans="1:7" s="125" customFormat="1" ht="17.75" customHeight="1">
      <c r="A25" s="539" t="str">
        <f>A78</f>
        <v>5</v>
      </c>
      <c r="B25" s="161"/>
      <c r="C25" s="162" t="str">
        <f>C78</f>
        <v xml:space="preserve">Stavební úpravy, demontáže </v>
      </c>
      <c r="D25" s="164"/>
      <c r="E25" s="164"/>
      <c r="F25" s="165"/>
      <c r="G25" s="540">
        <f>G85</f>
        <v>0</v>
      </c>
    </row>
    <row r="26" spans="1:7" ht="18" customHeight="1">
      <c r="A26" s="539" t="str">
        <f>A87</f>
        <v>A</v>
      </c>
      <c r="B26" s="161"/>
      <c r="C26" s="162" t="str">
        <f>C87</f>
        <v xml:space="preserve">Ostatní </v>
      </c>
      <c r="D26" s="164"/>
      <c r="E26" s="164"/>
      <c r="F26" s="165"/>
      <c r="G26" s="540">
        <f>G91</f>
        <v>0</v>
      </c>
    </row>
    <row r="27" spans="1:7" ht="13" thickBot="1">
      <c r="A27" s="539"/>
      <c r="B27" s="153"/>
      <c r="C27" s="167"/>
      <c r="D27" s="153"/>
      <c r="E27" s="168"/>
      <c r="F27" s="156"/>
      <c r="G27" s="540"/>
    </row>
    <row r="28" spans="1:7" ht="28.5" customHeight="1" thickBot="1">
      <c r="A28" s="541"/>
      <c r="B28" s="171"/>
      <c r="C28" s="172" t="s">
        <v>38</v>
      </c>
      <c r="D28" s="175"/>
      <c r="E28" s="174"/>
      <c r="F28" s="175"/>
      <c r="G28" s="542">
        <f>SUM(G21:G26)</f>
        <v>0</v>
      </c>
    </row>
    <row r="29" spans="1:7" ht="13" thickBot="1">
      <c r="A29" s="543"/>
      <c r="B29" s="180"/>
      <c r="C29" s="180"/>
      <c r="D29" s="180"/>
      <c r="E29" s="180"/>
      <c r="F29" s="180"/>
      <c r="G29" s="544"/>
    </row>
    <row r="30" spans="1:7" s="125" customFormat="1" ht="18" customHeight="1" thickBot="1">
      <c r="A30" s="545" t="s">
        <v>43</v>
      </c>
      <c r="B30" s="183"/>
      <c r="C30" s="184" t="s">
        <v>816</v>
      </c>
      <c r="D30" s="397"/>
      <c r="E30" s="398"/>
      <c r="F30" s="187"/>
      <c r="G30" s="546"/>
    </row>
    <row r="31" spans="1:7" s="125" customFormat="1" ht="12.75" customHeight="1">
      <c r="A31" s="547"/>
      <c r="B31" s="400"/>
      <c r="C31" s="232"/>
      <c r="D31" s="233"/>
      <c r="E31" s="401"/>
      <c r="F31" s="402"/>
      <c r="G31" s="548"/>
    </row>
    <row r="32" spans="1:7" s="499" customFormat="1" ht="33">
      <c r="A32" s="549" t="s">
        <v>45</v>
      </c>
      <c r="B32" s="508" t="s">
        <v>123</v>
      </c>
      <c r="C32" s="889" t="s">
        <v>819</v>
      </c>
      <c r="D32" s="496" t="s">
        <v>158</v>
      </c>
      <c r="E32" s="497">
        <v>2</v>
      </c>
      <c r="F32" s="498"/>
      <c r="G32" s="550">
        <f>$E32*F32</f>
        <v>0</v>
      </c>
    </row>
    <row r="33" spans="1:7" s="499" customFormat="1" ht="48" customHeight="1">
      <c r="A33" s="549" t="s">
        <v>47</v>
      </c>
      <c r="B33" s="508" t="s">
        <v>124</v>
      </c>
      <c r="C33" s="893" t="s">
        <v>820</v>
      </c>
      <c r="D33" s="496" t="s">
        <v>158</v>
      </c>
      <c r="E33" s="497">
        <v>1</v>
      </c>
      <c r="F33" s="498"/>
      <c r="G33" s="550">
        <f>$E33*F33</f>
        <v>0</v>
      </c>
    </row>
    <row r="34" spans="1:7" s="499" customFormat="1" ht="20.25" customHeight="1">
      <c r="A34" s="549" t="s">
        <v>50</v>
      </c>
      <c r="B34" s="508" t="s">
        <v>125</v>
      </c>
      <c r="C34" s="893" t="s">
        <v>821</v>
      </c>
      <c r="D34" s="496" t="s">
        <v>158</v>
      </c>
      <c r="E34" s="497">
        <v>1</v>
      </c>
      <c r="F34" s="498"/>
      <c r="G34" s="550">
        <f aca="true" t="shared" si="0" ref="G34:G45">$E34*F34</f>
        <v>0</v>
      </c>
    </row>
    <row r="35" spans="1:7" s="499" customFormat="1" ht="20.25" customHeight="1">
      <c r="A35" s="549" t="s">
        <v>53</v>
      </c>
      <c r="B35" s="508" t="s">
        <v>126</v>
      </c>
      <c r="C35" s="893" t="s">
        <v>822</v>
      </c>
      <c r="D35" s="496" t="s">
        <v>158</v>
      </c>
      <c r="E35" s="497">
        <v>2</v>
      </c>
      <c r="F35" s="498"/>
      <c r="G35" s="550">
        <f t="shared" si="0"/>
        <v>0</v>
      </c>
    </row>
    <row r="36" spans="1:7" s="499" customFormat="1" ht="20.25" customHeight="1">
      <c r="A36" s="549" t="s">
        <v>56</v>
      </c>
      <c r="B36" s="508" t="s">
        <v>817</v>
      </c>
      <c r="C36" s="893" t="s">
        <v>844</v>
      </c>
      <c r="D36" s="496" t="s">
        <v>175</v>
      </c>
      <c r="E36" s="497">
        <v>3</v>
      </c>
      <c r="F36" s="498"/>
      <c r="G36" s="550">
        <f t="shared" si="0"/>
        <v>0</v>
      </c>
    </row>
    <row r="37" spans="1:7" s="499" customFormat="1" ht="22.5" customHeight="1">
      <c r="A37" s="549" t="s">
        <v>58</v>
      </c>
      <c r="B37" s="508" t="s">
        <v>776</v>
      </c>
      <c r="C37" s="893" t="s">
        <v>848</v>
      </c>
      <c r="D37" s="496" t="s">
        <v>116</v>
      </c>
      <c r="E37" s="497">
        <v>6</v>
      </c>
      <c r="F37" s="498"/>
      <c r="G37" s="550">
        <f t="shared" si="0"/>
        <v>0</v>
      </c>
    </row>
    <row r="38" spans="1:7" s="499" customFormat="1" ht="22.5" customHeight="1">
      <c r="A38" s="549" t="s">
        <v>61</v>
      </c>
      <c r="B38" s="508" t="s">
        <v>777</v>
      </c>
      <c r="C38" s="893" t="s">
        <v>849</v>
      </c>
      <c r="D38" s="496" t="s">
        <v>116</v>
      </c>
      <c r="E38" s="497">
        <v>4</v>
      </c>
      <c r="F38" s="498"/>
      <c r="G38" s="550">
        <f t="shared" si="0"/>
        <v>0</v>
      </c>
    </row>
    <row r="39" spans="1:7" s="499" customFormat="1" ht="22.5" customHeight="1">
      <c r="A39" s="549" t="s">
        <v>63</v>
      </c>
      <c r="B39" s="508" t="s">
        <v>778</v>
      </c>
      <c r="C39" s="893" t="s">
        <v>850</v>
      </c>
      <c r="D39" s="496" t="s">
        <v>116</v>
      </c>
      <c r="E39" s="497">
        <v>4</v>
      </c>
      <c r="F39" s="498"/>
      <c r="G39" s="550">
        <f t="shared" si="0"/>
        <v>0</v>
      </c>
    </row>
    <row r="40" spans="1:7" s="499" customFormat="1" ht="30.75" customHeight="1">
      <c r="A40" s="549" t="s">
        <v>64</v>
      </c>
      <c r="B40" s="508" t="s">
        <v>746</v>
      </c>
      <c r="C40" s="893" t="s">
        <v>769</v>
      </c>
      <c r="D40" s="496" t="s">
        <v>116</v>
      </c>
      <c r="E40" s="497">
        <v>8</v>
      </c>
      <c r="F40" s="498"/>
      <c r="G40" s="550">
        <f t="shared" si="0"/>
        <v>0</v>
      </c>
    </row>
    <row r="41" spans="1:7" s="499" customFormat="1" ht="30.75" customHeight="1">
      <c r="A41" s="549" t="s">
        <v>66</v>
      </c>
      <c r="B41" s="508" t="s">
        <v>779</v>
      </c>
      <c r="C41" s="893" t="s">
        <v>788</v>
      </c>
      <c r="D41" s="496" t="s">
        <v>116</v>
      </c>
      <c r="E41" s="497">
        <v>7</v>
      </c>
      <c r="F41" s="498"/>
      <c r="G41" s="550">
        <f t="shared" si="0"/>
        <v>0</v>
      </c>
    </row>
    <row r="42" spans="1:7" s="499" customFormat="1" ht="30.75" customHeight="1">
      <c r="A42" s="549" t="s">
        <v>70</v>
      </c>
      <c r="B42" s="508" t="s">
        <v>780</v>
      </c>
      <c r="C42" s="893" t="s">
        <v>789</v>
      </c>
      <c r="D42" s="496" t="s">
        <v>116</v>
      </c>
      <c r="E42" s="497">
        <v>15</v>
      </c>
      <c r="F42" s="498"/>
      <c r="G42" s="550">
        <f t="shared" si="0"/>
        <v>0</v>
      </c>
    </row>
    <row r="43" spans="1:7" s="499" customFormat="1" ht="22.5" customHeight="1">
      <c r="A43" s="549" t="s">
        <v>74</v>
      </c>
      <c r="B43" s="508" t="s">
        <v>818</v>
      </c>
      <c r="C43" s="893" t="s">
        <v>823</v>
      </c>
      <c r="D43" s="496" t="s">
        <v>158</v>
      </c>
      <c r="E43" s="497">
        <v>2</v>
      </c>
      <c r="F43" s="498"/>
      <c r="G43" s="550">
        <f t="shared" si="0"/>
        <v>0</v>
      </c>
    </row>
    <row r="44" spans="1:7" s="499" customFormat="1" ht="32.25" customHeight="1">
      <c r="A44" s="549" t="s">
        <v>77</v>
      </c>
      <c r="B44" s="508" t="s">
        <v>824</v>
      </c>
      <c r="C44" s="893" t="s">
        <v>846</v>
      </c>
      <c r="D44" s="496" t="s">
        <v>158</v>
      </c>
      <c r="E44" s="497">
        <v>5</v>
      </c>
      <c r="F44" s="498"/>
      <c r="G44" s="550">
        <f t="shared" si="0"/>
        <v>0</v>
      </c>
    </row>
    <row r="45" spans="1:7" s="499" customFormat="1" ht="32.25" customHeight="1">
      <c r="A45" s="549" t="s">
        <v>80</v>
      </c>
      <c r="B45" s="508" t="s">
        <v>825</v>
      </c>
      <c r="C45" s="893" t="s">
        <v>847</v>
      </c>
      <c r="D45" s="496" t="s">
        <v>158</v>
      </c>
      <c r="E45" s="497">
        <v>2</v>
      </c>
      <c r="F45" s="498"/>
      <c r="G45" s="550">
        <f t="shared" si="0"/>
        <v>0</v>
      </c>
    </row>
    <row r="46" spans="1:7" ht="14" thickBot="1">
      <c r="A46" s="551"/>
      <c r="B46" s="412"/>
      <c r="C46" s="220"/>
      <c r="D46" s="221"/>
      <c r="E46" s="413"/>
      <c r="F46" s="414"/>
      <c r="G46" s="552"/>
    </row>
    <row r="47" spans="1:7" ht="19.5" customHeight="1" thickBot="1">
      <c r="A47" s="553"/>
      <c r="B47" s="226"/>
      <c r="C47" s="227" t="s">
        <v>113</v>
      </c>
      <c r="D47" s="226"/>
      <c r="E47" s="416"/>
      <c r="F47" s="417"/>
      <c r="G47" s="554">
        <f>SUBTOTAL(9,G31:G46)</f>
        <v>0</v>
      </c>
    </row>
    <row r="48" spans="1:7" ht="13" thickBot="1">
      <c r="A48" s="543"/>
      <c r="B48" s="180"/>
      <c r="C48" s="180"/>
      <c r="D48" s="180"/>
      <c r="E48" s="180"/>
      <c r="F48" s="180"/>
      <c r="G48" s="544"/>
    </row>
    <row r="49" spans="1:7" ht="17.25" customHeight="1" thickBot="1">
      <c r="A49" s="545" t="s">
        <v>100</v>
      </c>
      <c r="B49" s="183"/>
      <c r="C49" s="184" t="s">
        <v>826</v>
      </c>
      <c r="D49" s="397"/>
      <c r="E49" s="398"/>
      <c r="F49" s="187"/>
      <c r="G49" s="546"/>
    </row>
    <row r="50" spans="1:7" ht="12.75">
      <c r="A50" s="547"/>
      <c r="B50" s="400"/>
      <c r="C50" s="232"/>
      <c r="D50" s="233"/>
      <c r="E50" s="401"/>
      <c r="F50" s="402"/>
      <c r="G50" s="548"/>
    </row>
    <row r="51" spans="1:7" s="505" customFormat="1" ht="49.5" customHeight="1">
      <c r="A51" s="549" t="s">
        <v>115</v>
      </c>
      <c r="B51" s="905" t="s">
        <v>127</v>
      </c>
      <c r="C51" s="502" t="s">
        <v>845</v>
      </c>
      <c r="D51" s="503" t="s">
        <v>158</v>
      </c>
      <c r="E51" s="504">
        <v>1</v>
      </c>
      <c r="F51" s="504"/>
      <c r="G51" s="550">
        <f aca="true" t="shared" si="1" ref="G51:G56">$E51*F51</f>
        <v>0</v>
      </c>
    </row>
    <row r="52" spans="1:7" s="505" customFormat="1" ht="20.25" customHeight="1">
      <c r="A52" s="549" t="s">
        <v>117</v>
      </c>
      <c r="B52" s="905" t="s">
        <v>128</v>
      </c>
      <c r="C52" s="502" t="s">
        <v>828</v>
      </c>
      <c r="D52" s="503" t="s">
        <v>158</v>
      </c>
      <c r="E52" s="504">
        <v>1</v>
      </c>
      <c r="F52" s="504"/>
      <c r="G52" s="550">
        <f t="shared" si="1"/>
        <v>0</v>
      </c>
    </row>
    <row r="53" spans="1:7" s="505" customFormat="1" ht="32.25" customHeight="1">
      <c r="A53" s="549" t="s">
        <v>119</v>
      </c>
      <c r="B53" s="905" t="s">
        <v>817</v>
      </c>
      <c r="C53" s="502" t="s">
        <v>844</v>
      </c>
      <c r="D53" s="503" t="s">
        <v>175</v>
      </c>
      <c r="E53" s="504">
        <v>1</v>
      </c>
      <c r="F53" s="504"/>
      <c r="G53" s="550">
        <f t="shared" si="1"/>
        <v>0</v>
      </c>
    </row>
    <row r="54" spans="1:7" s="505" customFormat="1" ht="20.25" customHeight="1">
      <c r="A54" s="549" t="s">
        <v>295</v>
      </c>
      <c r="B54" s="905" t="s">
        <v>827</v>
      </c>
      <c r="C54" s="502" t="s">
        <v>829</v>
      </c>
      <c r="D54" s="503" t="s">
        <v>158</v>
      </c>
      <c r="E54" s="504">
        <v>1</v>
      </c>
      <c r="F54" s="504"/>
      <c r="G54" s="550">
        <f t="shared" si="1"/>
        <v>0</v>
      </c>
    </row>
    <row r="55" spans="1:7" s="505" customFormat="1" ht="33" customHeight="1">
      <c r="A55" s="549" t="s">
        <v>299</v>
      </c>
      <c r="B55" s="905" t="s">
        <v>666</v>
      </c>
      <c r="C55" s="502" t="s">
        <v>770</v>
      </c>
      <c r="D55" s="503" t="s">
        <v>116</v>
      </c>
      <c r="E55" s="504">
        <v>4</v>
      </c>
      <c r="F55" s="504"/>
      <c r="G55" s="550">
        <f t="shared" si="1"/>
        <v>0</v>
      </c>
    </row>
    <row r="56" spans="1:7" s="505" customFormat="1" ht="20.25" customHeight="1">
      <c r="A56" s="549" t="s">
        <v>301</v>
      </c>
      <c r="B56" s="501"/>
      <c r="C56" s="502" t="s">
        <v>830</v>
      </c>
      <c r="D56" s="503" t="s">
        <v>116</v>
      </c>
      <c r="E56" s="504">
        <v>8</v>
      </c>
      <c r="F56" s="504"/>
      <c r="G56" s="550">
        <f t="shared" si="1"/>
        <v>0</v>
      </c>
    </row>
    <row r="57" spans="1:7" ht="14" thickBot="1">
      <c r="A57" s="551"/>
      <c r="B57" s="412"/>
      <c r="C57" s="220"/>
      <c r="D57" s="221"/>
      <c r="E57" s="413"/>
      <c r="F57" s="414"/>
      <c r="G57" s="552"/>
    </row>
    <row r="58" spans="1:7" ht="13" thickBot="1">
      <c r="A58" s="553"/>
      <c r="B58" s="226"/>
      <c r="C58" s="227" t="s">
        <v>113</v>
      </c>
      <c r="D58" s="226"/>
      <c r="E58" s="416"/>
      <c r="F58" s="417"/>
      <c r="G58" s="554">
        <f>SUBTOTAL(9,G50:G57)</f>
        <v>0</v>
      </c>
    </row>
    <row r="59" spans="1:7" ht="13" thickBot="1">
      <c r="A59" s="543"/>
      <c r="B59" s="180"/>
      <c r="C59" s="180"/>
      <c r="D59" s="180"/>
      <c r="E59" s="180"/>
      <c r="F59" s="180"/>
      <c r="G59" s="544"/>
    </row>
    <row r="60" spans="1:7" ht="17.25" customHeight="1" thickBot="1">
      <c r="A60" s="545" t="s">
        <v>121</v>
      </c>
      <c r="B60" s="183"/>
      <c r="C60" s="184" t="s">
        <v>805</v>
      </c>
      <c r="D60" s="397"/>
      <c r="E60" s="398"/>
      <c r="F60" s="187"/>
      <c r="G60" s="546"/>
    </row>
    <row r="61" spans="1:7" ht="12.75">
      <c r="A61" s="547"/>
      <c r="B61" s="400"/>
      <c r="C61" s="232"/>
      <c r="D61" s="233"/>
      <c r="E61" s="401"/>
      <c r="F61" s="402"/>
      <c r="G61" s="548"/>
    </row>
    <row r="62" spans="1:7" s="505" customFormat="1" ht="23.25" customHeight="1">
      <c r="A62" s="549" t="s">
        <v>123</v>
      </c>
      <c r="B62" s="501"/>
      <c r="C62" s="502" t="s">
        <v>831</v>
      </c>
      <c r="D62" s="503" t="s">
        <v>158</v>
      </c>
      <c r="E62" s="504">
        <v>4</v>
      </c>
      <c r="F62" s="504"/>
      <c r="G62" s="550">
        <f>$E62*F62</f>
        <v>0</v>
      </c>
    </row>
    <row r="63" spans="1:7" s="204" customFormat="1" ht="14" thickBot="1">
      <c r="A63" s="557"/>
      <c r="B63" s="412"/>
      <c r="C63" s="220"/>
      <c r="D63" s="221"/>
      <c r="E63" s="414"/>
      <c r="F63" s="414"/>
      <c r="G63" s="558"/>
    </row>
    <row r="64" spans="1:7" ht="13" thickBot="1">
      <c r="A64" s="553"/>
      <c r="B64" s="226"/>
      <c r="C64" s="227" t="s">
        <v>113</v>
      </c>
      <c r="D64" s="226"/>
      <c r="E64" s="416"/>
      <c r="F64" s="417"/>
      <c r="G64" s="554">
        <f>SUBTOTAL(9,G61:G63)</f>
        <v>0</v>
      </c>
    </row>
    <row r="65" spans="1:7" ht="13" thickBot="1">
      <c r="A65" s="543"/>
      <c r="B65" s="180"/>
      <c r="C65" s="180"/>
      <c r="D65" s="180"/>
      <c r="E65" s="180"/>
      <c r="F65" s="180"/>
      <c r="G65" s="544"/>
    </row>
    <row r="66" spans="1:7" ht="17.25" customHeight="1" thickBot="1">
      <c r="A66" s="545" t="s">
        <v>98</v>
      </c>
      <c r="B66" s="183"/>
      <c r="C66" s="184" t="s">
        <v>344</v>
      </c>
      <c r="D66" s="397"/>
      <c r="E66" s="398"/>
      <c r="F66" s="187"/>
      <c r="G66" s="546"/>
    </row>
    <row r="67" spans="1:7" ht="12.75">
      <c r="A67" s="547"/>
      <c r="B67" s="400"/>
      <c r="C67" s="232"/>
      <c r="D67" s="233"/>
      <c r="E67" s="401"/>
      <c r="F67" s="402"/>
      <c r="G67" s="548"/>
    </row>
    <row r="68" spans="1:7" s="505" customFormat="1" ht="18" customHeight="1">
      <c r="A68" s="549" t="s">
        <v>156</v>
      </c>
      <c r="B68" s="501"/>
      <c r="C68" s="502" t="s">
        <v>720</v>
      </c>
      <c r="D68" s="503" t="s">
        <v>161</v>
      </c>
      <c r="E68" s="504">
        <v>4</v>
      </c>
      <c r="F68" s="504"/>
      <c r="G68" s="550">
        <f aca="true" t="shared" si="2" ref="G68:G74">$E68*F68</f>
        <v>0</v>
      </c>
    </row>
    <row r="69" spans="1:7" s="505" customFormat="1" ht="18" customHeight="1">
      <c r="A69" s="549" t="s">
        <v>159</v>
      </c>
      <c r="B69" s="501"/>
      <c r="C69" s="502" t="s">
        <v>841</v>
      </c>
      <c r="D69" s="503" t="s">
        <v>161</v>
      </c>
      <c r="E69" s="504">
        <v>4</v>
      </c>
      <c r="F69" s="504"/>
      <c r="G69" s="550">
        <f t="shared" si="2"/>
        <v>0</v>
      </c>
    </row>
    <row r="70" spans="1:7" s="505" customFormat="1" ht="18" customHeight="1">
      <c r="A70" s="549" t="s">
        <v>162</v>
      </c>
      <c r="B70" s="501"/>
      <c r="C70" s="502" t="s">
        <v>808</v>
      </c>
      <c r="D70" s="503" t="s">
        <v>181</v>
      </c>
      <c r="E70" s="504">
        <v>250</v>
      </c>
      <c r="F70" s="504"/>
      <c r="G70" s="550">
        <f t="shared" si="2"/>
        <v>0</v>
      </c>
    </row>
    <row r="71" spans="1:7" s="505" customFormat="1" ht="18" customHeight="1">
      <c r="A71" s="549" t="s">
        <v>164</v>
      </c>
      <c r="B71" s="501"/>
      <c r="C71" s="502" t="s">
        <v>832</v>
      </c>
      <c r="D71" s="503" t="s">
        <v>648</v>
      </c>
      <c r="E71" s="504">
        <v>15</v>
      </c>
      <c r="F71" s="504"/>
      <c r="G71" s="550">
        <f t="shared" si="2"/>
        <v>0</v>
      </c>
    </row>
    <row r="72" spans="1:7" s="505" customFormat="1" ht="18" customHeight="1">
      <c r="A72" s="549" t="s">
        <v>363</v>
      </c>
      <c r="B72" s="501"/>
      <c r="C72" s="502" t="s">
        <v>842</v>
      </c>
      <c r="D72" s="503" t="s">
        <v>648</v>
      </c>
      <c r="E72" s="504">
        <v>15</v>
      </c>
      <c r="F72" s="504"/>
      <c r="G72" s="550">
        <f t="shared" si="2"/>
        <v>0</v>
      </c>
    </row>
    <row r="73" spans="1:7" s="505" customFormat="1" ht="18" customHeight="1">
      <c r="A73" s="549" t="s">
        <v>364</v>
      </c>
      <c r="B73" s="501"/>
      <c r="C73" s="502" t="s">
        <v>843</v>
      </c>
      <c r="D73" s="503" t="s">
        <v>648</v>
      </c>
      <c r="E73" s="504">
        <v>8</v>
      </c>
      <c r="F73" s="504"/>
      <c r="G73" s="550">
        <f t="shared" si="2"/>
        <v>0</v>
      </c>
    </row>
    <row r="74" spans="1:7" s="505" customFormat="1" ht="18" customHeight="1">
      <c r="A74" s="549" t="s">
        <v>365</v>
      </c>
      <c r="B74" s="501"/>
      <c r="C74" s="502" t="s">
        <v>810</v>
      </c>
      <c r="D74" s="503" t="s">
        <v>161</v>
      </c>
      <c r="E74" s="504">
        <v>1</v>
      </c>
      <c r="F74" s="504"/>
      <c r="G74" s="550">
        <f t="shared" si="2"/>
        <v>0</v>
      </c>
    </row>
    <row r="75" spans="1:7" s="204" customFormat="1" ht="14" thickBot="1">
      <c r="A75" s="557"/>
      <c r="B75" s="412"/>
      <c r="C75" s="220"/>
      <c r="D75" s="221"/>
      <c r="E75" s="414"/>
      <c r="F75" s="414"/>
      <c r="G75" s="558"/>
    </row>
    <row r="76" spans="1:7" ht="13" thickBot="1">
      <c r="A76" s="553"/>
      <c r="B76" s="226"/>
      <c r="C76" s="227" t="s">
        <v>113</v>
      </c>
      <c r="D76" s="226"/>
      <c r="E76" s="416"/>
      <c r="F76" s="417"/>
      <c r="G76" s="554">
        <f>SUBTOTAL(9,G67:G75)</f>
        <v>0</v>
      </c>
    </row>
    <row r="77" spans="1:7" ht="13" thickBot="1">
      <c r="A77" s="543"/>
      <c r="B77" s="180"/>
      <c r="C77" s="180"/>
      <c r="D77" s="180"/>
      <c r="E77" s="180"/>
      <c r="F77" s="180"/>
      <c r="G77" s="544"/>
    </row>
    <row r="78" spans="1:7" ht="17.25" customHeight="1" thickBot="1">
      <c r="A78" s="545" t="s">
        <v>166</v>
      </c>
      <c r="B78" s="183"/>
      <c r="C78" s="184" t="s">
        <v>811</v>
      </c>
      <c r="D78" s="397"/>
      <c r="E78" s="398"/>
      <c r="F78" s="187"/>
      <c r="G78" s="546"/>
    </row>
    <row r="79" spans="1:7" ht="12.75">
      <c r="A79" s="547"/>
      <c r="B79" s="400"/>
      <c r="C79" s="232"/>
      <c r="D79" s="233"/>
      <c r="E79" s="401"/>
      <c r="F79" s="402"/>
      <c r="G79" s="548"/>
    </row>
    <row r="80" spans="1:7" s="505" customFormat="1" ht="20.25" customHeight="1">
      <c r="A80" s="549" t="s">
        <v>168</v>
      </c>
      <c r="B80" s="905" t="s">
        <v>835</v>
      </c>
      <c r="C80" s="502" t="s">
        <v>833</v>
      </c>
      <c r="D80" s="503" t="s">
        <v>158</v>
      </c>
      <c r="E80" s="504">
        <v>3</v>
      </c>
      <c r="F80" s="504"/>
      <c r="G80" s="550">
        <f>$E80*F80</f>
        <v>0</v>
      </c>
    </row>
    <row r="81" spans="1:7" s="505" customFormat="1" ht="31.5" customHeight="1">
      <c r="A81" s="549" t="s">
        <v>268</v>
      </c>
      <c r="B81" s="501"/>
      <c r="C81" s="502" t="s">
        <v>813</v>
      </c>
      <c r="D81" s="503" t="s">
        <v>158</v>
      </c>
      <c r="E81" s="504">
        <v>2</v>
      </c>
      <c r="F81" s="504"/>
      <c r="G81" s="550">
        <f>$E81*F81</f>
        <v>0</v>
      </c>
    </row>
    <row r="82" spans="1:7" s="505" customFormat="1" ht="17.25" customHeight="1">
      <c r="A82" s="549" t="s">
        <v>269</v>
      </c>
      <c r="B82" s="501"/>
      <c r="C82" s="502" t="s">
        <v>834</v>
      </c>
      <c r="D82" s="503" t="s">
        <v>161</v>
      </c>
      <c r="E82" s="504">
        <v>3</v>
      </c>
      <c r="F82" s="504"/>
      <c r="G82" s="550">
        <f>$E82*F82</f>
        <v>0</v>
      </c>
    </row>
    <row r="83" spans="1:7" s="505" customFormat="1" ht="20.25" customHeight="1">
      <c r="A83" s="549" t="s">
        <v>329</v>
      </c>
      <c r="B83" s="501"/>
      <c r="C83" s="502" t="s">
        <v>814</v>
      </c>
      <c r="D83" s="503" t="s">
        <v>161</v>
      </c>
      <c r="E83" s="504">
        <v>1</v>
      </c>
      <c r="F83" s="504"/>
      <c r="G83" s="550">
        <f>$E83*F83</f>
        <v>0</v>
      </c>
    </row>
    <row r="84" spans="1:7" s="204" customFormat="1" ht="14" thickBot="1">
      <c r="A84" s="557"/>
      <c r="B84" s="412"/>
      <c r="C84" s="220"/>
      <c r="D84" s="221"/>
      <c r="E84" s="414"/>
      <c r="F84" s="414"/>
      <c r="G84" s="558"/>
    </row>
    <row r="85" spans="1:7" ht="13" thickBot="1">
      <c r="A85" s="553"/>
      <c r="B85" s="226"/>
      <c r="C85" s="227" t="s">
        <v>113</v>
      </c>
      <c r="D85" s="226"/>
      <c r="E85" s="416"/>
      <c r="F85" s="417"/>
      <c r="G85" s="554">
        <f>SUBTOTAL(9,G79:G84)</f>
        <v>0</v>
      </c>
    </row>
    <row r="86" spans="1:7" ht="13" thickBot="1">
      <c r="A86" s="543"/>
      <c r="B86" s="180"/>
      <c r="C86" s="180"/>
      <c r="D86" s="180"/>
      <c r="E86" s="180"/>
      <c r="F86" s="180"/>
      <c r="G86" s="544"/>
    </row>
    <row r="87" spans="1:7" ht="13" thickBot="1">
      <c r="A87" s="545" t="s">
        <v>291</v>
      </c>
      <c r="B87" s="183"/>
      <c r="C87" s="184" t="s">
        <v>338</v>
      </c>
      <c r="D87" s="397"/>
      <c r="E87" s="440"/>
      <c r="F87" s="441"/>
      <c r="G87" s="546"/>
    </row>
    <row r="88" spans="1:7" ht="12.75">
      <c r="A88" s="547"/>
      <c r="B88" s="400"/>
      <c r="C88" s="232"/>
      <c r="D88" s="233"/>
      <c r="E88" s="401"/>
      <c r="F88" s="402"/>
      <c r="G88" s="548"/>
    </row>
    <row r="89" spans="1:7" ht="50.25" customHeight="1">
      <c r="A89" s="561" t="s">
        <v>389</v>
      </c>
      <c r="B89" s="489"/>
      <c r="C89" s="492" t="s">
        <v>247</v>
      </c>
      <c r="D89" s="489"/>
      <c r="E89" s="493"/>
      <c r="F89" s="239"/>
      <c r="G89" s="562">
        <f>$E89*F89</f>
        <v>0</v>
      </c>
    </row>
    <row r="90" spans="1:7" ht="13" thickBot="1">
      <c r="A90" s="559"/>
      <c r="B90" s="153"/>
      <c r="C90" s="299"/>
      <c r="D90" s="153"/>
      <c r="E90" s="450"/>
      <c r="F90" s="451"/>
      <c r="G90" s="560"/>
    </row>
    <row r="91" spans="1:7" ht="13" thickBot="1">
      <c r="A91" s="553"/>
      <c r="B91" s="226"/>
      <c r="C91" s="227" t="s">
        <v>113</v>
      </c>
      <c r="D91" s="226"/>
      <c r="E91" s="303"/>
      <c r="F91" s="304"/>
      <c r="G91" s="554">
        <f>SUBTOTAL(9,G88:G90)</f>
        <v>0</v>
      </c>
    </row>
    <row r="92" spans="1:7" ht="13" thickBot="1">
      <c r="A92" s="543"/>
      <c r="B92" s="180"/>
      <c r="C92" s="180"/>
      <c r="D92" s="180"/>
      <c r="E92" s="180"/>
      <c r="F92" s="180"/>
      <c r="G92" s="544"/>
    </row>
    <row r="93" spans="1:7" ht="27.75" customHeight="1" thickBot="1">
      <c r="A93" s="563"/>
      <c r="B93" s="564"/>
      <c r="C93" s="565" t="s">
        <v>38</v>
      </c>
      <c r="D93" s="566"/>
      <c r="E93" s="566"/>
      <c r="F93" s="566"/>
      <c r="G93" s="567">
        <f>SUBTOTAL(9,G29:G91)</f>
        <v>0</v>
      </c>
    </row>
    <row r="95" spans="1:6" s="480" customFormat="1" ht="12.75">
      <c r="A95" s="72"/>
      <c r="B95" s="491"/>
      <c r="C95" s="491"/>
      <c r="D95" s="75"/>
      <c r="E95" s="76"/>
      <c r="F95" s="76"/>
    </row>
    <row r="96" spans="1:6" s="480" customFormat="1" ht="12.75">
      <c r="A96" s="72"/>
      <c r="B96" s="491"/>
      <c r="C96" s="491"/>
      <c r="D96" s="75"/>
      <c r="E96" s="76"/>
      <c r="F96" s="76"/>
    </row>
    <row r="97" spans="1:6" s="480" customFormat="1" ht="12.75">
      <c r="A97" s="72"/>
      <c r="B97" s="491"/>
      <c r="C97" s="491"/>
      <c r="D97" s="75"/>
      <c r="E97" s="76"/>
      <c r="F97" s="76"/>
    </row>
    <row r="98" spans="1:6" s="480" customFormat="1" ht="12.75">
      <c r="A98" s="72"/>
      <c r="B98" s="491"/>
      <c r="C98" s="491"/>
      <c r="D98" s="75"/>
      <c r="E98" s="76"/>
      <c r="F98" s="76"/>
    </row>
    <row r="99" spans="1:6" s="480" customFormat="1" ht="12.75">
      <c r="A99" s="72"/>
      <c r="B99" s="491"/>
      <c r="C99" s="491"/>
      <c r="D99" s="75"/>
      <c r="E99" s="76"/>
      <c r="F99" s="76"/>
    </row>
    <row r="100" spans="1:6" s="480" customFormat="1" ht="12.75">
      <c r="A100" s="72"/>
      <c r="B100" s="491"/>
      <c r="C100" s="491"/>
      <c r="D100" s="75"/>
      <c r="E100" s="76"/>
      <c r="F100"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G268"/>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2" t="s">
        <v>548</v>
      </c>
      <c r="G3" s="1423"/>
    </row>
    <row r="4" spans="1:7" ht="60.75" customHeight="1" thickBot="1">
      <c r="A4" s="519"/>
      <c r="B4" s="92" t="s">
        <v>19</v>
      </c>
      <c r="C4" s="11" t="s">
        <v>347</v>
      </c>
      <c r="D4" s="94"/>
      <c r="E4" s="94"/>
      <c r="F4" s="1418"/>
      <c r="G4" s="1424"/>
    </row>
    <row r="5" spans="1:7" ht="15" customHeigh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A34</f>
        <v>1</v>
      </c>
      <c r="B21" s="161"/>
      <c r="C21" s="162" t="str">
        <f>C34</f>
        <v>Kabely a trubky</v>
      </c>
      <c r="D21" s="164"/>
      <c r="E21" s="164"/>
      <c r="F21" s="165"/>
      <c r="G21" s="540">
        <f>G60</f>
        <v>0</v>
      </c>
    </row>
    <row r="22" spans="1:7" s="125" customFormat="1" ht="17.75" customHeight="1">
      <c r="A22" s="539" t="str">
        <f>A62</f>
        <v>2</v>
      </c>
      <c r="B22" s="161"/>
      <c r="C22" s="162" t="str">
        <f>C62</f>
        <v>Instalační materiál</v>
      </c>
      <c r="D22" s="164"/>
      <c r="E22" s="164"/>
      <c r="F22" s="165"/>
      <c r="G22" s="540">
        <f>G99</f>
        <v>0</v>
      </c>
    </row>
    <row r="23" spans="1:7" s="125" customFormat="1" ht="17.75" customHeight="1">
      <c r="A23" s="539" t="str">
        <f>A101</f>
        <v>3</v>
      </c>
      <c r="B23" s="161"/>
      <c r="C23" s="162" t="str">
        <f>C101</f>
        <v>Osvětlení</v>
      </c>
      <c r="D23" s="164"/>
      <c r="E23" s="164"/>
      <c r="F23" s="165"/>
      <c r="G23" s="540">
        <f>G134</f>
        <v>0</v>
      </c>
    </row>
    <row r="24" spans="1:7" s="125" customFormat="1" ht="17.75" customHeight="1">
      <c r="A24" s="539" t="str">
        <f>A136</f>
        <v>4</v>
      </c>
      <c r="B24" s="161"/>
      <c r="C24" s="162" t="str">
        <f>C136</f>
        <v>Rozvaděč R.OÚ</v>
      </c>
      <c r="D24" s="164"/>
      <c r="E24" s="164"/>
      <c r="F24" s="165"/>
      <c r="G24" s="540">
        <f>G158</f>
        <v>0</v>
      </c>
    </row>
    <row r="25" spans="1:7" s="125" customFormat="1" ht="17.75" customHeight="1">
      <c r="A25" s="539" t="str">
        <f>A160</f>
        <v>5</v>
      </c>
      <c r="B25" s="161"/>
      <c r="C25" s="162" t="str">
        <f>C160</f>
        <v>Rozvaděč R.kotelna+sklad</v>
      </c>
      <c r="D25" s="164"/>
      <c r="E25" s="164"/>
      <c r="F25" s="165"/>
      <c r="G25" s="540">
        <f>G177</f>
        <v>0</v>
      </c>
    </row>
    <row r="26" spans="1:7" s="125" customFormat="1" ht="17.75" customHeight="1">
      <c r="A26" s="539" t="str">
        <f>A179</f>
        <v>6</v>
      </c>
      <c r="B26" s="161"/>
      <c r="C26" s="162" t="str">
        <f>C179</f>
        <v>Rozvaděč R.jeviště</v>
      </c>
      <c r="D26" s="164"/>
      <c r="E26" s="164"/>
      <c r="F26" s="165"/>
      <c r="G26" s="540">
        <f>G190</f>
        <v>0</v>
      </c>
    </row>
    <row r="27" spans="1:7" s="125" customFormat="1" ht="17.75" customHeight="1">
      <c r="A27" s="539" t="str">
        <f>A192</f>
        <v>7</v>
      </c>
      <c r="B27" s="161"/>
      <c r="C27" s="162" t="str">
        <f>C192</f>
        <v>Rozvaděč R.restaurace</v>
      </c>
      <c r="D27" s="164"/>
      <c r="E27" s="164"/>
      <c r="F27" s="165"/>
      <c r="G27" s="540">
        <f>G212</f>
        <v>0</v>
      </c>
    </row>
    <row r="28" spans="1:7" s="125" customFormat="1" ht="17.75" customHeight="1">
      <c r="A28" s="539" t="str">
        <f>A214</f>
        <v>8</v>
      </c>
      <c r="B28" s="161"/>
      <c r="C28" s="162" t="str">
        <f>C214</f>
        <v>Ochrana před bleskem</v>
      </c>
      <c r="D28" s="164"/>
      <c r="E28" s="164"/>
      <c r="F28" s="165"/>
      <c r="G28" s="540">
        <f>G230</f>
        <v>0</v>
      </c>
    </row>
    <row r="29" spans="1:7" s="125" customFormat="1" ht="17.75" customHeight="1">
      <c r="A29" s="539" t="str">
        <f>A232</f>
        <v>9</v>
      </c>
      <c r="B29" s="161"/>
      <c r="C29" s="162" t="str">
        <f>C232</f>
        <v>Ostatní práce a dodávky</v>
      </c>
      <c r="D29" s="164"/>
      <c r="E29" s="164"/>
      <c r="F29" s="165"/>
      <c r="G29" s="540">
        <f>G253</f>
        <v>0</v>
      </c>
    </row>
    <row r="30" spans="1:7" ht="18" customHeight="1">
      <c r="A30" s="539" t="str">
        <f>A255</f>
        <v>A</v>
      </c>
      <c r="B30" s="161"/>
      <c r="C30" s="162" t="str">
        <f>C255</f>
        <v>Ostatní náklady</v>
      </c>
      <c r="D30" s="164"/>
      <c r="E30" s="164"/>
      <c r="F30" s="165"/>
      <c r="G30" s="540">
        <f>G259</f>
        <v>0</v>
      </c>
    </row>
    <row r="31" spans="1:7" ht="12.75">
      <c r="A31" s="539"/>
      <c r="B31" s="153"/>
      <c r="C31" s="167"/>
      <c r="D31" s="153"/>
      <c r="E31" s="168"/>
      <c r="F31" s="156"/>
      <c r="G31" s="540"/>
    </row>
    <row r="32" spans="1:7" ht="28.5" customHeight="1">
      <c r="A32" s="541"/>
      <c r="B32" s="171"/>
      <c r="C32" s="172" t="s">
        <v>38</v>
      </c>
      <c r="D32" s="175"/>
      <c r="E32" s="174"/>
      <c r="F32" s="175"/>
      <c r="G32" s="542">
        <f>SUM(G21:G30)</f>
        <v>0</v>
      </c>
    </row>
    <row r="33" spans="1:7" ht="12.75">
      <c r="A33" s="543"/>
      <c r="B33" s="180"/>
      <c r="C33" s="180"/>
      <c r="D33" s="180"/>
      <c r="E33" s="180"/>
      <c r="F33" s="180"/>
      <c r="G33" s="544"/>
    </row>
    <row r="34" spans="1:7" s="125" customFormat="1" ht="18" customHeight="1">
      <c r="A34" s="545" t="s">
        <v>43</v>
      </c>
      <c r="B34" s="183"/>
      <c r="C34" s="184" t="s">
        <v>348</v>
      </c>
      <c r="D34" s="397"/>
      <c r="E34" s="398"/>
      <c r="F34" s="187"/>
      <c r="G34" s="546"/>
    </row>
    <row r="35" spans="1:7" s="125" customFormat="1" ht="12.75" customHeight="1">
      <c r="A35" s="547"/>
      <c r="B35" s="400"/>
      <c r="C35" s="232"/>
      <c r="D35" s="233"/>
      <c r="E35" s="401"/>
      <c r="F35" s="402"/>
      <c r="G35" s="548"/>
    </row>
    <row r="36" spans="1:7" s="204" customFormat="1" ht="23.25" customHeight="1">
      <c r="A36" s="568" t="s">
        <v>45</v>
      </c>
      <c r="B36" s="197"/>
      <c r="C36" s="136" t="s">
        <v>349</v>
      </c>
      <c r="D36" s="198" t="s">
        <v>116</v>
      </c>
      <c r="E36" s="906">
        <v>350</v>
      </c>
      <c r="F36" s="906"/>
      <c r="G36" s="569">
        <f aca="true" t="shared" si="0" ref="G36:G58">$E36*F36</f>
        <v>0</v>
      </c>
    </row>
    <row r="37" spans="1:7" s="204" customFormat="1" ht="23.25" customHeight="1">
      <c r="A37" s="568" t="s">
        <v>47</v>
      </c>
      <c r="B37" s="197"/>
      <c r="C37" s="136" t="s">
        <v>414</v>
      </c>
      <c r="D37" s="198" t="s">
        <v>116</v>
      </c>
      <c r="E37" s="906">
        <v>30</v>
      </c>
      <c r="F37" s="906"/>
      <c r="G37" s="569">
        <f t="shared" si="0"/>
        <v>0</v>
      </c>
    </row>
    <row r="38" spans="1:7" s="204" customFormat="1" ht="23.25" customHeight="1">
      <c r="A38" s="568" t="s">
        <v>50</v>
      </c>
      <c r="B38" s="197"/>
      <c r="C38" s="136" t="s">
        <v>350</v>
      </c>
      <c r="D38" s="198" t="s">
        <v>116</v>
      </c>
      <c r="E38" s="906">
        <v>1770</v>
      </c>
      <c r="F38" s="906"/>
      <c r="G38" s="569">
        <f t="shared" si="0"/>
        <v>0</v>
      </c>
    </row>
    <row r="39" spans="1:7" s="204" customFormat="1" ht="23.25" customHeight="1">
      <c r="A39" s="568" t="s">
        <v>53</v>
      </c>
      <c r="B39" s="197"/>
      <c r="C39" s="136" t="s">
        <v>415</v>
      </c>
      <c r="D39" s="198" t="s">
        <v>116</v>
      </c>
      <c r="E39" s="906">
        <v>250</v>
      </c>
      <c r="F39" s="906"/>
      <c r="G39" s="569">
        <f t="shared" si="0"/>
        <v>0</v>
      </c>
    </row>
    <row r="40" spans="1:7" s="204" customFormat="1" ht="21" customHeight="1">
      <c r="A40" s="568" t="s">
        <v>56</v>
      </c>
      <c r="B40" s="197"/>
      <c r="C40" s="136" t="s">
        <v>351</v>
      </c>
      <c r="D40" s="198" t="s">
        <v>116</v>
      </c>
      <c r="E40" s="906">
        <v>1030</v>
      </c>
      <c r="F40" s="906"/>
      <c r="G40" s="569">
        <f t="shared" si="0"/>
        <v>0</v>
      </c>
    </row>
    <row r="41" spans="1:7" s="204" customFormat="1" ht="22.5" customHeight="1">
      <c r="A41" s="568" t="s">
        <v>58</v>
      </c>
      <c r="B41" s="197"/>
      <c r="C41" s="136" t="s">
        <v>416</v>
      </c>
      <c r="D41" s="198" t="s">
        <v>116</v>
      </c>
      <c r="E41" s="906">
        <v>65</v>
      </c>
      <c r="F41" s="906"/>
      <c r="G41" s="569">
        <f t="shared" si="0"/>
        <v>0</v>
      </c>
    </row>
    <row r="42" spans="1:7" s="204" customFormat="1" ht="21.75" customHeight="1">
      <c r="A42" s="568" t="s">
        <v>61</v>
      </c>
      <c r="B42" s="197"/>
      <c r="C42" s="136" t="s">
        <v>417</v>
      </c>
      <c r="D42" s="198" t="s">
        <v>116</v>
      </c>
      <c r="E42" s="906">
        <v>275</v>
      </c>
      <c r="F42" s="906"/>
      <c r="G42" s="569">
        <f t="shared" si="0"/>
        <v>0</v>
      </c>
    </row>
    <row r="43" spans="1:7" s="204" customFormat="1" ht="21.75" customHeight="1">
      <c r="A43" s="568" t="s">
        <v>63</v>
      </c>
      <c r="B43" s="197"/>
      <c r="C43" s="136" t="s">
        <v>418</v>
      </c>
      <c r="D43" s="198" t="s">
        <v>116</v>
      </c>
      <c r="E43" s="906">
        <v>150</v>
      </c>
      <c r="F43" s="906"/>
      <c r="G43" s="569">
        <f t="shared" si="0"/>
        <v>0</v>
      </c>
    </row>
    <row r="44" spans="1:7" s="204" customFormat="1" ht="21.75" customHeight="1">
      <c r="A44" s="568" t="s">
        <v>64</v>
      </c>
      <c r="B44" s="197"/>
      <c r="C44" s="136" t="s">
        <v>419</v>
      </c>
      <c r="D44" s="198" t="s">
        <v>116</v>
      </c>
      <c r="E44" s="906">
        <v>40</v>
      </c>
      <c r="F44" s="906"/>
      <c r="G44" s="569">
        <f t="shared" si="0"/>
        <v>0</v>
      </c>
    </row>
    <row r="45" spans="1:7" s="204" customFormat="1" ht="21.75" customHeight="1">
      <c r="A45" s="568" t="s">
        <v>66</v>
      </c>
      <c r="B45" s="197"/>
      <c r="C45" s="136" t="s">
        <v>420</v>
      </c>
      <c r="D45" s="198" t="s">
        <v>116</v>
      </c>
      <c r="E45" s="906">
        <v>20</v>
      </c>
      <c r="F45" s="906"/>
      <c r="G45" s="569">
        <f t="shared" si="0"/>
        <v>0</v>
      </c>
    </row>
    <row r="46" spans="1:7" s="204" customFormat="1" ht="21.75" customHeight="1">
      <c r="A46" s="568" t="s">
        <v>70</v>
      </c>
      <c r="B46" s="197"/>
      <c r="C46" s="136" t="s">
        <v>421</v>
      </c>
      <c r="D46" s="198" t="s">
        <v>116</v>
      </c>
      <c r="E46" s="906">
        <v>60</v>
      </c>
      <c r="F46" s="906"/>
      <c r="G46" s="569">
        <f t="shared" si="0"/>
        <v>0</v>
      </c>
    </row>
    <row r="47" spans="1:7" s="204" customFormat="1" ht="21.75" customHeight="1">
      <c r="A47" s="568" t="s">
        <v>74</v>
      </c>
      <c r="B47" s="197"/>
      <c r="C47" s="136" t="s">
        <v>422</v>
      </c>
      <c r="D47" s="198" t="s">
        <v>116</v>
      </c>
      <c r="E47" s="906">
        <v>50</v>
      </c>
      <c r="F47" s="906"/>
      <c r="G47" s="569">
        <f t="shared" si="0"/>
        <v>0</v>
      </c>
    </row>
    <row r="48" spans="1:7" s="204" customFormat="1" ht="17.25" customHeight="1">
      <c r="A48" s="568" t="s">
        <v>77</v>
      </c>
      <c r="B48" s="197"/>
      <c r="C48" s="136" t="s">
        <v>423</v>
      </c>
      <c r="D48" s="198" t="s">
        <v>116</v>
      </c>
      <c r="E48" s="906">
        <v>1</v>
      </c>
      <c r="F48" s="906"/>
      <c r="G48" s="569">
        <f t="shared" si="0"/>
        <v>0</v>
      </c>
    </row>
    <row r="49" spans="1:7" s="204" customFormat="1" ht="17.25" customHeight="1">
      <c r="A49" s="568" t="s">
        <v>80</v>
      </c>
      <c r="B49" s="197"/>
      <c r="C49" s="136" t="s">
        <v>424</v>
      </c>
      <c r="D49" s="198" t="s">
        <v>116</v>
      </c>
      <c r="E49" s="906">
        <v>20</v>
      </c>
      <c r="F49" s="906"/>
      <c r="G49" s="569">
        <f t="shared" si="0"/>
        <v>0</v>
      </c>
    </row>
    <row r="50" spans="1:7" s="204" customFormat="1" ht="17.25" customHeight="1">
      <c r="A50" s="568" t="s">
        <v>82</v>
      </c>
      <c r="B50" s="197"/>
      <c r="C50" s="136" t="s">
        <v>425</v>
      </c>
      <c r="D50" s="198" t="s">
        <v>116</v>
      </c>
      <c r="E50" s="906">
        <v>50</v>
      </c>
      <c r="F50" s="906"/>
      <c r="G50" s="569">
        <f t="shared" si="0"/>
        <v>0</v>
      </c>
    </row>
    <row r="51" spans="1:7" s="204" customFormat="1" ht="23.25" customHeight="1">
      <c r="A51" s="568" t="s">
        <v>84</v>
      </c>
      <c r="B51" s="197"/>
      <c r="C51" s="136" t="s">
        <v>426</v>
      </c>
      <c r="D51" s="198" t="s">
        <v>116</v>
      </c>
      <c r="E51" s="906">
        <v>300</v>
      </c>
      <c r="F51" s="906"/>
      <c r="G51" s="569">
        <f t="shared" si="0"/>
        <v>0</v>
      </c>
    </row>
    <row r="52" spans="1:7" s="204" customFormat="1" ht="23.25" customHeight="1">
      <c r="A52" s="568" t="s">
        <v>85</v>
      </c>
      <c r="B52" s="197"/>
      <c r="C52" s="136" t="s">
        <v>427</v>
      </c>
      <c r="D52" s="198" t="s">
        <v>116</v>
      </c>
      <c r="E52" s="906">
        <v>40</v>
      </c>
      <c r="F52" s="906"/>
      <c r="G52" s="569">
        <f t="shared" si="0"/>
        <v>0</v>
      </c>
    </row>
    <row r="53" spans="1:7" s="204" customFormat="1" ht="23.25" customHeight="1">
      <c r="A53" s="568" t="s">
        <v>89</v>
      </c>
      <c r="B53" s="197"/>
      <c r="C53" s="136" t="s">
        <v>428</v>
      </c>
      <c r="D53" s="198" t="s">
        <v>116</v>
      </c>
      <c r="E53" s="906">
        <v>20</v>
      </c>
      <c r="F53" s="906"/>
      <c r="G53" s="569">
        <f t="shared" si="0"/>
        <v>0</v>
      </c>
    </row>
    <row r="54" spans="1:7" s="204" customFormat="1" ht="23.25" customHeight="1">
      <c r="A54" s="568" t="s">
        <v>91</v>
      </c>
      <c r="B54" s="197"/>
      <c r="C54" s="136" t="s">
        <v>429</v>
      </c>
      <c r="D54" s="198" t="s">
        <v>116</v>
      </c>
      <c r="E54" s="906">
        <v>60</v>
      </c>
      <c r="F54" s="906"/>
      <c r="G54" s="569">
        <f t="shared" si="0"/>
        <v>0</v>
      </c>
    </row>
    <row r="55" spans="1:7" s="204" customFormat="1" ht="21" customHeight="1">
      <c r="A55" s="568" t="s">
        <v>93</v>
      </c>
      <c r="B55" s="197"/>
      <c r="C55" s="136" t="s">
        <v>430</v>
      </c>
      <c r="D55" s="198" t="s">
        <v>116</v>
      </c>
      <c r="E55" s="906">
        <v>55</v>
      </c>
      <c r="F55" s="906"/>
      <c r="G55" s="569">
        <f t="shared" si="0"/>
        <v>0</v>
      </c>
    </row>
    <row r="56" spans="1:7" s="204" customFormat="1" ht="22.5" customHeight="1">
      <c r="A56" s="568" t="s">
        <v>95</v>
      </c>
      <c r="B56" s="197"/>
      <c r="C56" s="136" t="s">
        <v>431</v>
      </c>
      <c r="D56" s="198" t="s">
        <v>116</v>
      </c>
      <c r="E56" s="906">
        <v>150</v>
      </c>
      <c r="F56" s="906"/>
      <c r="G56" s="569">
        <f t="shared" si="0"/>
        <v>0</v>
      </c>
    </row>
    <row r="57" spans="1:7" s="204" customFormat="1" ht="21.75" customHeight="1">
      <c r="A57" s="568" t="s">
        <v>103</v>
      </c>
      <c r="B57" s="197"/>
      <c r="C57" s="136" t="s">
        <v>432</v>
      </c>
      <c r="D57" s="198" t="s">
        <v>116</v>
      </c>
      <c r="E57" s="906">
        <v>15</v>
      </c>
      <c r="F57" s="906"/>
      <c r="G57" s="569">
        <f t="shared" si="0"/>
        <v>0</v>
      </c>
    </row>
    <row r="58" spans="1:7" s="204" customFormat="1" ht="17.25" customHeight="1">
      <c r="A58" s="568" t="s">
        <v>107</v>
      </c>
      <c r="B58" s="197"/>
      <c r="C58" s="136" t="s">
        <v>433</v>
      </c>
      <c r="D58" s="198" t="s">
        <v>116</v>
      </c>
      <c r="E58" s="906">
        <v>20</v>
      </c>
      <c r="F58" s="906"/>
      <c r="G58" s="569">
        <f t="shared" si="0"/>
        <v>0</v>
      </c>
    </row>
    <row r="59" spans="1:7" ht="14" thickBot="1">
      <c r="A59" s="551"/>
      <c r="B59" s="412"/>
      <c r="C59" s="220"/>
      <c r="D59" s="221"/>
      <c r="E59" s="413"/>
      <c r="F59" s="414"/>
      <c r="G59" s="552"/>
    </row>
    <row r="60" spans="1:7" ht="19.5" customHeight="1">
      <c r="A60" s="553"/>
      <c r="B60" s="226"/>
      <c r="C60" s="227" t="s">
        <v>113</v>
      </c>
      <c r="D60" s="226"/>
      <c r="E60" s="416"/>
      <c r="F60" s="417"/>
      <c r="G60" s="554">
        <f>SUBTOTAL(9,G35:G59)</f>
        <v>0</v>
      </c>
    </row>
    <row r="61" spans="1:7" ht="12.75">
      <c r="A61" s="543"/>
      <c r="B61" s="180"/>
      <c r="C61" s="180"/>
      <c r="D61" s="180"/>
      <c r="E61" s="180"/>
      <c r="F61" s="180"/>
      <c r="G61" s="544"/>
    </row>
    <row r="62" spans="1:7" ht="17.25" customHeight="1">
      <c r="A62" s="545" t="s">
        <v>100</v>
      </c>
      <c r="B62" s="183"/>
      <c r="C62" s="184" t="s">
        <v>352</v>
      </c>
      <c r="D62" s="397"/>
      <c r="E62" s="398"/>
      <c r="F62" s="187"/>
      <c r="G62" s="546"/>
    </row>
    <row r="63" spans="1:7" ht="12.75">
      <c r="A63" s="547"/>
      <c r="B63" s="400"/>
      <c r="C63" s="232"/>
      <c r="D63" s="233"/>
      <c r="E63" s="401"/>
      <c r="F63" s="402"/>
      <c r="G63" s="548"/>
    </row>
    <row r="64" spans="1:7" s="204" customFormat="1" ht="19.5" customHeight="1">
      <c r="A64" s="568" t="s">
        <v>115</v>
      </c>
      <c r="B64" s="197"/>
      <c r="C64" s="270" t="s">
        <v>434</v>
      </c>
      <c r="D64" s="197" t="s">
        <v>158</v>
      </c>
      <c r="E64" s="239">
        <v>17</v>
      </c>
      <c r="F64" s="239"/>
      <c r="G64" s="569">
        <f>$E64*F64</f>
        <v>0</v>
      </c>
    </row>
    <row r="65" spans="1:7" s="204" customFormat="1" ht="19.5" customHeight="1">
      <c r="A65" s="568" t="s">
        <v>117</v>
      </c>
      <c r="B65" s="197"/>
      <c r="C65" s="273" t="s">
        <v>435</v>
      </c>
      <c r="D65" s="197" t="s">
        <v>158</v>
      </c>
      <c r="E65" s="239">
        <v>2</v>
      </c>
      <c r="F65" s="239"/>
      <c r="G65" s="569">
        <f>$E65*F65</f>
        <v>0</v>
      </c>
    </row>
    <row r="66" spans="1:7" s="204" customFormat="1" ht="19.5" customHeight="1">
      <c r="A66" s="568" t="s">
        <v>119</v>
      </c>
      <c r="B66" s="197"/>
      <c r="C66" s="273" t="s">
        <v>436</v>
      </c>
      <c r="D66" s="197" t="s">
        <v>158</v>
      </c>
      <c r="E66" s="906">
        <v>16</v>
      </c>
      <c r="F66" s="239"/>
      <c r="G66" s="569">
        <f>$E66*F66</f>
        <v>0</v>
      </c>
    </row>
    <row r="67" spans="1:7" s="204" customFormat="1" ht="19.5" customHeight="1">
      <c r="A67" s="568" t="s">
        <v>295</v>
      </c>
      <c r="B67" s="197"/>
      <c r="C67" s="273" t="s">
        <v>437</v>
      </c>
      <c r="D67" s="197" t="s">
        <v>158</v>
      </c>
      <c r="E67" s="906">
        <v>2</v>
      </c>
      <c r="F67" s="239"/>
      <c r="G67" s="569">
        <f>$E67*F67</f>
        <v>0</v>
      </c>
    </row>
    <row r="68" spans="1:7" s="204" customFormat="1" ht="19.5" customHeight="1">
      <c r="A68" s="568" t="s">
        <v>299</v>
      </c>
      <c r="B68" s="197"/>
      <c r="C68" s="273" t="s">
        <v>438</v>
      </c>
      <c r="D68" s="197" t="s">
        <v>158</v>
      </c>
      <c r="E68" s="906">
        <v>1</v>
      </c>
      <c r="F68" s="239"/>
      <c r="G68" s="569">
        <f aca="true" t="shared" si="1" ref="G68:G82">$E68*F68</f>
        <v>0</v>
      </c>
    </row>
    <row r="69" spans="1:7" s="204" customFormat="1" ht="19.5" customHeight="1">
      <c r="A69" s="568" t="s">
        <v>301</v>
      </c>
      <c r="B69" s="197"/>
      <c r="C69" s="273" t="s">
        <v>914</v>
      </c>
      <c r="D69" s="197" t="s">
        <v>158</v>
      </c>
      <c r="E69" s="906">
        <v>8</v>
      </c>
      <c r="F69" s="239"/>
      <c r="G69" s="569">
        <f t="shared" si="1"/>
        <v>0</v>
      </c>
    </row>
    <row r="70" spans="1:7" s="204" customFormat="1" ht="29.25" customHeight="1">
      <c r="A70" s="568" t="s">
        <v>304</v>
      </c>
      <c r="B70" s="197"/>
      <c r="C70" s="273" t="s">
        <v>915</v>
      </c>
      <c r="D70" s="197" t="s">
        <v>158</v>
      </c>
      <c r="E70" s="906">
        <v>2</v>
      </c>
      <c r="F70" s="239"/>
      <c r="G70" s="569">
        <f t="shared" si="1"/>
        <v>0</v>
      </c>
    </row>
    <row r="71" spans="1:7" s="204" customFormat="1" ht="19.5" customHeight="1">
      <c r="A71" s="568"/>
      <c r="B71" s="197"/>
      <c r="C71" s="273"/>
      <c r="D71" s="197"/>
      <c r="E71" s="906"/>
      <c r="F71" s="239"/>
      <c r="G71" s="569"/>
    </row>
    <row r="72" spans="1:7" s="204" customFormat="1" ht="19.5" customHeight="1">
      <c r="A72" s="568" t="s">
        <v>307</v>
      </c>
      <c r="B72" s="197"/>
      <c r="C72" s="273" t="s">
        <v>439</v>
      </c>
      <c r="D72" s="197" t="s">
        <v>158</v>
      </c>
      <c r="E72" s="906">
        <v>6</v>
      </c>
      <c r="F72" s="239"/>
      <c r="G72" s="569">
        <f t="shared" si="1"/>
        <v>0</v>
      </c>
    </row>
    <row r="73" spans="1:7" s="204" customFormat="1" ht="19.5" customHeight="1">
      <c r="A73" s="568" t="s">
        <v>310</v>
      </c>
      <c r="B73" s="197"/>
      <c r="C73" s="273" t="s">
        <v>440</v>
      </c>
      <c r="D73" s="197" t="s">
        <v>158</v>
      </c>
      <c r="E73" s="906">
        <v>87</v>
      </c>
      <c r="F73" s="239"/>
      <c r="G73" s="569">
        <f t="shared" si="1"/>
        <v>0</v>
      </c>
    </row>
    <row r="74" spans="1:7" s="204" customFormat="1" ht="19.5" customHeight="1">
      <c r="A74" s="568" t="s">
        <v>311</v>
      </c>
      <c r="B74" s="197"/>
      <c r="C74" s="273" t="s">
        <v>441</v>
      </c>
      <c r="D74" s="197" t="s">
        <v>158</v>
      </c>
      <c r="E74" s="906">
        <v>7</v>
      </c>
      <c r="F74" s="239"/>
      <c r="G74" s="569">
        <f t="shared" si="1"/>
        <v>0</v>
      </c>
    </row>
    <row r="75" spans="1:7" s="204" customFormat="1" ht="19.5" customHeight="1">
      <c r="A75" s="568" t="s">
        <v>312</v>
      </c>
      <c r="B75" s="197"/>
      <c r="C75" s="273" t="s">
        <v>442</v>
      </c>
      <c r="D75" s="197" t="s">
        <v>158</v>
      </c>
      <c r="E75" s="906">
        <v>6</v>
      </c>
      <c r="F75" s="239"/>
      <c r="G75" s="569">
        <f t="shared" si="1"/>
        <v>0</v>
      </c>
    </row>
    <row r="76" spans="1:7" s="204" customFormat="1" ht="19.5" customHeight="1">
      <c r="A76" s="568" t="s">
        <v>313</v>
      </c>
      <c r="B76" s="197"/>
      <c r="C76" s="273" t="s">
        <v>443</v>
      </c>
      <c r="D76" s="197" t="s">
        <v>158</v>
      </c>
      <c r="E76" s="906">
        <v>4</v>
      </c>
      <c r="F76" s="239"/>
      <c r="G76" s="569">
        <f t="shared" si="1"/>
        <v>0</v>
      </c>
    </row>
    <row r="77" spans="1:7" s="204" customFormat="1" ht="19.5" customHeight="1">
      <c r="A77" s="568" t="s">
        <v>314</v>
      </c>
      <c r="B77" s="197"/>
      <c r="C77" s="273" t="s">
        <v>444</v>
      </c>
      <c r="D77" s="197" t="s">
        <v>158</v>
      </c>
      <c r="E77" s="906">
        <v>11</v>
      </c>
      <c r="F77" s="239"/>
      <c r="G77" s="569">
        <f t="shared" si="1"/>
        <v>0</v>
      </c>
    </row>
    <row r="78" spans="1:7" s="204" customFormat="1" ht="19.5" customHeight="1">
      <c r="A78" s="568" t="s">
        <v>315</v>
      </c>
      <c r="B78" s="197"/>
      <c r="C78" s="273" t="s">
        <v>445</v>
      </c>
      <c r="D78" s="197" t="s">
        <v>158</v>
      </c>
      <c r="E78" s="906">
        <v>2</v>
      </c>
      <c r="F78" s="239"/>
      <c r="G78" s="569">
        <f t="shared" si="1"/>
        <v>0</v>
      </c>
    </row>
    <row r="79" spans="1:7" s="204" customFormat="1" ht="19.5" customHeight="1">
      <c r="A79" s="568" t="s">
        <v>316</v>
      </c>
      <c r="B79" s="197"/>
      <c r="C79" s="273" t="s">
        <v>446</v>
      </c>
      <c r="D79" s="197" t="s">
        <v>158</v>
      </c>
      <c r="E79" s="906">
        <v>2</v>
      </c>
      <c r="F79" s="239"/>
      <c r="G79" s="569">
        <f t="shared" si="1"/>
        <v>0</v>
      </c>
    </row>
    <row r="80" spans="1:7" s="204" customFormat="1" ht="19.5" customHeight="1">
      <c r="A80" s="568" t="s">
        <v>317</v>
      </c>
      <c r="B80" s="197"/>
      <c r="C80" s="273" t="s">
        <v>447</v>
      </c>
      <c r="D80" s="197" t="s">
        <v>158</v>
      </c>
      <c r="E80" s="906">
        <v>1</v>
      </c>
      <c r="F80" s="239"/>
      <c r="G80" s="569">
        <f t="shared" si="1"/>
        <v>0</v>
      </c>
    </row>
    <row r="81" spans="1:7" s="204" customFormat="1" ht="19.5" customHeight="1">
      <c r="A81" s="568" t="s">
        <v>318</v>
      </c>
      <c r="B81" s="197"/>
      <c r="C81" s="273" t="s">
        <v>448</v>
      </c>
      <c r="D81" s="197" t="s">
        <v>158</v>
      </c>
      <c r="E81" s="906">
        <v>163</v>
      </c>
      <c r="F81" s="239"/>
      <c r="G81" s="569">
        <f t="shared" si="1"/>
        <v>0</v>
      </c>
    </row>
    <row r="82" spans="1:7" s="204" customFormat="1" ht="19.5" customHeight="1">
      <c r="A82" s="568" t="s">
        <v>401</v>
      </c>
      <c r="B82" s="197"/>
      <c r="C82" s="273" t="s">
        <v>449</v>
      </c>
      <c r="D82" s="197" t="s">
        <v>158</v>
      </c>
      <c r="E82" s="906">
        <v>6</v>
      </c>
      <c r="F82" s="239"/>
      <c r="G82" s="569">
        <f t="shared" si="1"/>
        <v>0</v>
      </c>
    </row>
    <row r="83" spans="1:7" s="204" customFormat="1" ht="19.5" customHeight="1">
      <c r="A83" s="568" t="s">
        <v>402</v>
      </c>
      <c r="B83" s="197"/>
      <c r="C83" s="273" t="s">
        <v>450</v>
      </c>
      <c r="D83" s="197" t="s">
        <v>158</v>
      </c>
      <c r="E83" s="906">
        <v>18</v>
      </c>
      <c r="F83" s="239"/>
      <c r="G83" s="569">
        <f aca="true" t="shared" si="2" ref="G83:G97">$E83*F83</f>
        <v>0</v>
      </c>
    </row>
    <row r="84" spans="1:7" s="204" customFormat="1" ht="19.5" customHeight="1">
      <c r="A84" s="568" t="s">
        <v>403</v>
      </c>
      <c r="B84" s="197"/>
      <c r="C84" s="273" t="s">
        <v>451</v>
      </c>
      <c r="D84" s="197" t="s">
        <v>158</v>
      </c>
      <c r="E84" s="906">
        <v>1</v>
      </c>
      <c r="F84" s="239"/>
      <c r="G84" s="569">
        <f t="shared" si="2"/>
        <v>0</v>
      </c>
    </row>
    <row r="85" spans="1:7" s="204" customFormat="1" ht="19.5" customHeight="1">
      <c r="A85" s="568" t="s">
        <v>404</v>
      </c>
      <c r="B85" s="197"/>
      <c r="C85" s="273" t="s">
        <v>452</v>
      </c>
      <c r="D85" s="197" t="s">
        <v>161</v>
      </c>
      <c r="E85" s="906">
        <v>3</v>
      </c>
      <c r="F85" s="239"/>
      <c r="G85" s="569">
        <f t="shared" si="2"/>
        <v>0</v>
      </c>
    </row>
    <row r="86" spans="1:7" s="204" customFormat="1" ht="19.5" customHeight="1">
      <c r="A86" s="568" t="s">
        <v>405</v>
      </c>
      <c r="B86" s="197"/>
      <c r="C86" s="273" t="s">
        <v>453</v>
      </c>
      <c r="D86" s="197" t="s">
        <v>161</v>
      </c>
      <c r="E86" s="906">
        <v>3</v>
      </c>
      <c r="F86" s="239"/>
      <c r="G86" s="569">
        <f t="shared" si="2"/>
        <v>0</v>
      </c>
    </row>
    <row r="87" spans="1:7" s="204" customFormat="1" ht="19.5" customHeight="1">
      <c r="A87" s="568" t="s">
        <v>464</v>
      </c>
      <c r="B87" s="197"/>
      <c r="C87" s="273" t="s">
        <v>910</v>
      </c>
      <c r="D87" s="197" t="s">
        <v>158</v>
      </c>
      <c r="E87" s="906">
        <v>1</v>
      </c>
      <c r="F87" s="239"/>
      <c r="G87" s="569">
        <f t="shared" si="2"/>
        <v>0</v>
      </c>
    </row>
    <row r="88" spans="1:7" s="204" customFormat="1" ht="33" customHeight="1">
      <c r="A88" s="568" t="s">
        <v>465</v>
      </c>
      <c r="B88" s="197"/>
      <c r="C88" s="273" t="s">
        <v>454</v>
      </c>
      <c r="D88" s="197" t="s">
        <v>158</v>
      </c>
      <c r="E88" s="906">
        <v>2</v>
      </c>
      <c r="F88" s="239"/>
      <c r="G88" s="569">
        <f t="shared" si="2"/>
        <v>0</v>
      </c>
    </row>
    <row r="89" spans="1:7" s="204" customFormat="1" ht="22.5" customHeight="1">
      <c r="A89" s="568" t="s">
        <v>466</v>
      </c>
      <c r="B89" s="197"/>
      <c r="C89" s="273" t="s">
        <v>455</v>
      </c>
      <c r="D89" s="197" t="s">
        <v>158</v>
      </c>
      <c r="E89" s="906">
        <v>1</v>
      </c>
      <c r="F89" s="239"/>
      <c r="G89" s="569">
        <f t="shared" si="2"/>
        <v>0</v>
      </c>
    </row>
    <row r="90" spans="1:7" s="204" customFormat="1" ht="19.5" customHeight="1">
      <c r="A90" s="568" t="s">
        <v>467</v>
      </c>
      <c r="B90" s="197"/>
      <c r="C90" s="273" t="s">
        <v>456</v>
      </c>
      <c r="D90" s="197" t="s">
        <v>161</v>
      </c>
      <c r="E90" s="906">
        <v>1</v>
      </c>
      <c r="F90" s="239"/>
      <c r="G90" s="569">
        <f t="shared" si="2"/>
        <v>0</v>
      </c>
    </row>
    <row r="91" spans="1:7" s="204" customFormat="1" ht="19.5" customHeight="1">
      <c r="A91" s="568" t="s">
        <v>468</v>
      </c>
      <c r="B91" s="197"/>
      <c r="C91" s="273" t="s">
        <v>457</v>
      </c>
      <c r="D91" s="197" t="s">
        <v>158</v>
      </c>
      <c r="E91" s="906">
        <v>1</v>
      </c>
      <c r="F91" s="239"/>
      <c r="G91" s="569">
        <f t="shared" si="2"/>
        <v>0</v>
      </c>
    </row>
    <row r="92" spans="1:7" s="204" customFormat="1" ht="19.5" customHeight="1">
      <c r="A92" s="568" t="s">
        <v>469</v>
      </c>
      <c r="B92" s="197"/>
      <c r="C92" s="273" t="s">
        <v>458</v>
      </c>
      <c r="D92" s="197" t="s">
        <v>158</v>
      </c>
      <c r="E92" s="906">
        <v>1</v>
      </c>
      <c r="F92" s="239"/>
      <c r="G92" s="569">
        <f t="shared" si="2"/>
        <v>0</v>
      </c>
    </row>
    <row r="93" spans="1:7" s="204" customFormat="1" ht="19.5" customHeight="1">
      <c r="A93" s="568" t="s">
        <v>470</v>
      </c>
      <c r="B93" s="197"/>
      <c r="C93" s="273" t="s">
        <v>459</v>
      </c>
      <c r="D93" s="197" t="s">
        <v>161</v>
      </c>
      <c r="E93" s="906">
        <v>3</v>
      </c>
      <c r="F93" s="239"/>
      <c r="G93" s="569">
        <f t="shared" si="2"/>
        <v>0</v>
      </c>
    </row>
    <row r="94" spans="1:7" s="204" customFormat="1" ht="19.5" customHeight="1">
      <c r="A94" s="568" t="s">
        <v>471</v>
      </c>
      <c r="B94" s="197"/>
      <c r="C94" s="273" t="s">
        <v>460</v>
      </c>
      <c r="D94" s="197" t="s">
        <v>158</v>
      </c>
      <c r="E94" s="906">
        <v>2</v>
      </c>
      <c r="F94" s="239"/>
      <c r="G94" s="569">
        <f t="shared" si="2"/>
        <v>0</v>
      </c>
    </row>
    <row r="95" spans="1:7" s="204" customFormat="1" ht="19.5" customHeight="1">
      <c r="A95" s="568" t="s">
        <v>472</v>
      </c>
      <c r="B95" s="197"/>
      <c r="C95" s="273" t="s">
        <v>461</v>
      </c>
      <c r="D95" s="197" t="s">
        <v>158</v>
      </c>
      <c r="E95" s="906">
        <v>1</v>
      </c>
      <c r="F95" s="239"/>
      <c r="G95" s="569">
        <f t="shared" si="2"/>
        <v>0</v>
      </c>
    </row>
    <row r="96" spans="1:7" s="204" customFormat="1" ht="19.5" customHeight="1">
      <c r="A96" s="568" t="s">
        <v>473</v>
      </c>
      <c r="B96" s="197"/>
      <c r="C96" s="273" t="s">
        <v>462</v>
      </c>
      <c r="D96" s="197" t="s">
        <v>158</v>
      </c>
      <c r="E96" s="906">
        <v>7</v>
      </c>
      <c r="F96" s="239"/>
      <c r="G96" s="569">
        <f t="shared" si="2"/>
        <v>0</v>
      </c>
    </row>
    <row r="97" spans="1:7" s="204" customFormat="1" ht="19.5" customHeight="1">
      <c r="A97" s="568" t="s">
        <v>474</v>
      </c>
      <c r="B97" s="197"/>
      <c r="C97" s="273" t="s">
        <v>463</v>
      </c>
      <c r="D97" s="197" t="s">
        <v>158</v>
      </c>
      <c r="E97" s="906">
        <v>240</v>
      </c>
      <c r="F97" s="239"/>
      <c r="G97" s="569">
        <f t="shared" si="2"/>
        <v>0</v>
      </c>
    </row>
    <row r="98" spans="1:7" ht="14" thickBot="1">
      <c r="A98" s="551"/>
      <c r="B98" s="412"/>
      <c r="C98" s="220"/>
      <c r="D98" s="221"/>
      <c r="E98" s="413"/>
      <c r="F98" s="414"/>
      <c r="G98" s="552"/>
    </row>
    <row r="99" spans="1:7" ht="12.75">
      <c r="A99" s="553"/>
      <c r="B99" s="226"/>
      <c r="C99" s="227" t="s">
        <v>113</v>
      </c>
      <c r="D99" s="226"/>
      <c r="E99" s="416"/>
      <c r="F99" s="417"/>
      <c r="G99" s="554">
        <f>SUBTOTAL(9,G63:G98)</f>
        <v>0</v>
      </c>
    </row>
    <row r="100" spans="1:7" ht="12.75">
      <c r="A100" s="543"/>
      <c r="B100" s="180"/>
      <c r="C100" s="180"/>
      <c r="D100" s="180"/>
      <c r="E100" s="180"/>
      <c r="F100" s="180"/>
      <c r="G100" s="544"/>
    </row>
    <row r="101" spans="1:7" ht="17.25" customHeight="1">
      <c r="A101" s="545" t="s">
        <v>121</v>
      </c>
      <c r="B101" s="183"/>
      <c r="C101" s="184" t="s">
        <v>353</v>
      </c>
      <c r="D101" s="397"/>
      <c r="E101" s="398"/>
      <c r="F101" s="187"/>
      <c r="G101" s="546"/>
    </row>
    <row r="102" spans="1:7" ht="12.75">
      <c r="A102" s="547"/>
      <c r="B102" s="400"/>
      <c r="C102" s="232"/>
      <c r="D102" s="233"/>
      <c r="E102" s="401"/>
      <c r="F102" s="402"/>
      <c r="G102" s="548"/>
    </row>
    <row r="103" spans="1:7" s="204" customFormat="1" ht="30.75" customHeight="1">
      <c r="A103" s="568" t="s">
        <v>123</v>
      </c>
      <c r="B103" s="433" t="s">
        <v>564</v>
      </c>
      <c r="C103" s="479" t="s">
        <v>1006</v>
      </c>
      <c r="D103" s="198" t="s">
        <v>158</v>
      </c>
      <c r="E103" s="239">
        <v>15</v>
      </c>
      <c r="F103" s="239"/>
      <c r="G103" s="569">
        <f aca="true" t="shared" si="3" ref="G103:G116">$E103*F103</f>
        <v>0</v>
      </c>
    </row>
    <row r="104" spans="1:7" s="204" customFormat="1" ht="25.5" customHeight="1">
      <c r="A104" s="568" t="s">
        <v>124</v>
      </c>
      <c r="B104" s="433" t="s">
        <v>564</v>
      </c>
      <c r="C104" s="479" t="s">
        <v>565</v>
      </c>
      <c r="D104" s="198" t="s">
        <v>158</v>
      </c>
      <c r="E104" s="239">
        <v>15</v>
      </c>
      <c r="F104" s="239"/>
      <c r="G104" s="569">
        <f t="shared" si="3"/>
        <v>0</v>
      </c>
    </row>
    <row r="105" spans="1:7" s="204" customFormat="1" ht="25.5" customHeight="1">
      <c r="A105" s="568" t="s">
        <v>125</v>
      </c>
      <c r="B105" s="433" t="s">
        <v>354</v>
      </c>
      <c r="C105" s="479" t="s">
        <v>1007</v>
      </c>
      <c r="D105" s="198" t="s">
        <v>158</v>
      </c>
      <c r="E105" s="239">
        <v>13</v>
      </c>
      <c r="F105" s="239"/>
      <c r="G105" s="569">
        <f t="shared" si="3"/>
        <v>0</v>
      </c>
    </row>
    <row r="106" spans="1:7" s="204" customFormat="1" ht="25.5" customHeight="1">
      <c r="A106" s="568" t="s">
        <v>126</v>
      </c>
      <c r="B106" s="433" t="s">
        <v>354</v>
      </c>
      <c r="C106" s="479" t="s">
        <v>565</v>
      </c>
      <c r="D106" s="198" t="s">
        <v>158</v>
      </c>
      <c r="E106" s="239">
        <v>13</v>
      </c>
      <c r="F106" s="239"/>
      <c r="G106" s="569">
        <f t="shared" si="3"/>
        <v>0</v>
      </c>
    </row>
    <row r="107" spans="1:7" s="204" customFormat="1" ht="25.5" customHeight="1">
      <c r="A107" s="568" t="s">
        <v>127</v>
      </c>
      <c r="B107" s="433" t="s">
        <v>355</v>
      </c>
      <c r="C107" s="479" t="s">
        <v>1008</v>
      </c>
      <c r="D107" s="198" t="s">
        <v>158</v>
      </c>
      <c r="E107" s="239">
        <v>45</v>
      </c>
      <c r="F107" s="239"/>
      <c r="G107" s="569">
        <f t="shared" si="3"/>
        <v>0</v>
      </c>
    </row>
    <row r="108" spans="1:7" s="204" customFormat="1" ht="25.5" customHeight="1">
      <c r="A108" s="568" t="s">
        <v>128</v>
      </c>
      <c r="B108" s="433" t="s">
        <v>355</v>
      </c>
      <c r="C108" s="479" t="s">
        <v>566</v>
      </c>
      <c r="D108" s="198" t="s">
        <v>158</v>
      </c>
      <c r="E108" s="239">
        <v>45</v>
      </c>
      <c r="F108" s="239"/>
      <c r="G108" s="569">
        <f t="shared" si="3"/>
        <v>0</v>
      </c>
    </row>
    <row r="109" spans="1:7" s="204" customFormat="1" ht="25.5" customHeight="1">
      <c r="A109" s="568" t="s">
        <v>129</v>
      </c>
      <c r="B109" s="433" t="s">
        <v>356</v>
      </c>
      <c r="C109" s="479" t="s">
        <v>1009</v>
      </c>
      <c r="D109" s="198" t="s">
        <v>158</v>
      </c>
      <c r="E109" s="239">
        <v>6</v>
      </c>
      <c r="F109" s="239"/>
      <c r="G109" s="569">
        <f t="shared" si="3"/>
        <v>0</v>
      </c>
    </row>
    <row r="110" spans="1:7" s="204" customFormat="1" ht="25.5" customHeight="1">
      <c r="A110" s="568" t="s">
        <v>130</v>
      </c>
      <c r="B110" s="433" t="s">
        <v>356</v>
      </c>
      <c r="C110" s="479" t="s">
        <v>566</v>
      </c>
      <c r="D110" s="198" t="s">
        <v>158</v>
      </c>
      <c r="E110" s="239">
        <v>6</v>
      </c>
      <c r="F110" s="239"/>
      <c r="G110" s="569">
        <f t="shared" si="3"/>
        <v>0</v>
      </c>
    </row>
    <row r="111" spans="1:7" s="204" customFormat="1" ht="25.5" customHeight="1">
      <c r="A111" s="568" t="s">
        <v>131</v>
      </c>
      <c r="B111" s="433" t="s">
        <v>357</v>
      </c>
      <c r="C111" s="479" t="s">
        <v>1010</v>
      </c>
      <c r="D111" s="198" t="s">
        <v>158</v>
      </c>
      <c r="E111" s="239">
        <v>38</v>
      </c>
      <c r="F111" s="239"/>
      <c r="G111" s="569">
        <f t="shared" si="3"/>
        <v>0</v>
      </c>
    </row>
    <row r="112" spans="1:7" s="204" customFormat="1" ht="25.5" customHeight="1">
      <c r="A112" s="568" t="s">
        <v>133</v>
      </c>
      <c r="B112" s="433" t="s">
        <v>358</v>
      </c>
      <c r="C112" s="479" t="s">
        <v>1011</v>
      </c>
      <c r="D112" s="198" t="s">
        <v>158</v>
      </c>
      <c r="E112" s="239">
        <v>20</v>
      </c>
      <c r="F112" s="239"/>
      <c r="G112" s="569">
        <f t="shared" si="3"/>
        <v>0</v>
      </c>
    </row>
    <row r="113" spans="1:7" s="204" customFormat="1" ht="25.5" customHeight="1">
      <c r="A113" s="568" t="s">
        <v>136</v>
      </c>
      <c r="B113" s="433" t="s">
        <v>358</v>
      </c>
      <c r="C113" s="479" t="s">
        <v>1012</v>
      </c>
      <c r="D113" s="198" t="s">
        <v>158</v>
      </c>
      <c r="E113" s="239">
        <v>20</v>
      </c>
      <c r="F113" s="239"/>
      <c r="G113" s="569">
        <f t="shared" si="3"/>
        <v>0</v>
      </c>
    </row>
    <row r="114" spans="1:7" s="204" customFormat="1" ht="25.5" customHeight="1">
      <c r="A114" s="568" t="s">
        <v>137</v>
      </c>
      <c r="B114" s="433" t="s">
        <v>358</v>
      </c>
      <c r="C114" s="479" t="s">
        <v>567</v>
      </c>
      <c r="D114" s="198" t="s">
        <v>158</v>
      </c>
      <c r="E114" s="239">
        <v>20</v>
      </c>
      <c r="F114" s="239"/>
      <c r="G114" s="569">
        <f t="shared" si="3"/>
        <v>0</v>
      </c>
    </row>
    <row r="115" spans="1:7" s="204" customFormat="1" ht="25.5" customHeight="1">
      <c r="A115" s="568" t="s">
        <v>138</v>
      </c>
      <c r="B115" s="433" t="s">
        <v>359</v>
      </c>
      <c r="C115" s="479" t="s">
        <v>1013</v>
      </c>
      <c r="D115" s="198" t="s">
        <v>158</v>
      </c>
      <c r="E115" s="239">
        <v>27</v>
      </c>
      <c r="F115" s="239"/>
      <c r="G115" s="569">
        <f t="shared" si="3"/>
        <v>0</v>
      </c>
    </row>
    <row r="116" spans="1:7" s="204" customFormat="1" ht="25.5" customHeight="1">
      <c r="A116" s="568" t="s">
        <v>140</v>
      </c>
      <c r="B116" s="433" t="s">
        <v>568</v>
      </c>
      <c r="C116" s="479" t="s">
        <v>1014</v>
      </c>
      <c r="D116" s="198" t="s">
        <v>158</v>
      </c>
      <c r="E116" s="239">
        <v>15</v>
      </c>
      <c r="F116" s="239"/>
      <c r="G116" s="569">
        <f t="shared" si="3"/>
        <v>0</v>
      </c>
    </row>
    <row r="117" spans="1:7" s="204" customFormat="1" ht="25.5" customHeight="1">
      <c r="A117" s="568" t="s">
        <v>141</v>
      </c>
      <c r="B117" s="433" t="s">
        <v>568</v>
      </c>
      <c r="C117" s="479" t="s">
        <v>569</v>
      </c>
      <c r="D117" s="198" t="s">
        <v>158</v>
      </c>
      <c r="E117" s="239">
        <v>15</v>
      </c>
      <c r="F117" s="239"/>
      <c r="G117" s="569">
        <f aca="true" t="shared" si="4" ref="G117:G132">$E117*F117</f>
        <v>0</v>
      </c>
    </row>
    <row r="118" spans="1:7" s="204" customFormat="1" ht="25.5" customHeight="1">
      <c r="A118" s="568" t="s">
        <v>143</v>
      </c>
      <c r="B118" s="433" t="s">
        <v>570</v>
      </c>
      <c r="C118" s="479" t="s">
        <v>1015</v>
      </c>
      <c r="D118" s="198" t="s">
        <v>158</v>
      </c>
      <c r="E118" s="239">
        <v>2</v>
      </c>
      <c r="F118" s="239"/>
      <c r="G118" s="569">
        <f t="shared" si="4"/>
        <v>0</v>
      </c>
    </row>
    <row r="119" spans="1:7" s="204" customFormat="1" ht="25.5" customHeight="1">
      <c r="A119" s="568" t="s">
        <v>145</v>
      </c>
      <c r="B119" s="433" t="s">
        <v>570</v>
      </c>
      <c r="C119" s="479" t="s">
        <v>571</v>
      </c>
      <c r="D119" s="198" t="s">
        <v>158</v>
      </c>
      <c r="E119" s="239">
        <v>2</v>
      </c>
      <c r="F119" s="239"/>
      <c r="G119" s="569">
        <f t="shared" si="4"/>
        <v>0</v>
      </c>
    </row>
    <row r="120" spans="1:7" s="204" customFormat="1" ht="21.75" customHeight="1">
      <c r="A120" s="568" t="s">
        <v>147</v>
      </c>
      <c r="B120" s="433" t="s">
        <v>572</v>
      </c>
      <c r="C120" s="479" t="s">
        <v>1016</v>
      </c>
      <c r="D120" s="198" t="s">
        <v>158</v>
      </c>
      <c r="E120" s="239">
        <v>23</v>
      </c>
      <c r="F120" s="239"/>
      <c r="G120" s="569">
        <f t="shared" si="4"/>
        <v>0</v>
      </c>
    </row>
    <row r="121" spans="1:7" s="204" customFormat="1" ht="25.5" customHeight="1">
      <c r="A121" s="568" t="s">
        <v>149</v>
      </c>
      <c r="B121" s="433" t="s">
        <v>573</v>
      </c>
      <c r="C121" s="479" t="s">
        <v>574</v>
      </c>
      <c r="D121" s="198" t="s">
        <v>158</v>
      </c>
      <c r="E121" s="239">
        <v>20</v>
      </c>
      <c r="F121" s="239"/>
      <c r="G121" s="569">
        <f t="shared" si="4"/>
        <v>0</v>
      </c>
    </row>
    <row r="122" spans="1:7" s="204" customFormat="1" ht="25.5" customHeight="1">
      <c r="A122" s="568" t="s">
        <v>153</v>
      </c>
      <c r="B122" s="433" t="s">
        <v>575</v>
      </c>
      <c r="C122" s="479" t="s">
        <v>576</v>
      </c>
      <c r="D122" s="198" t="s">
        <v>158</v>
      </c>
      <c r="E122" s="239">
        <v>4</v>
      </c>
      <c r="F122" s="239"/>
      <c r="G122" s="569">
        <f t="shared" si="4"/>
        <v>0</v>
      </c>
    </row>
    <row r="123" spans="1:7" s="204" customFormat="1" ht="25.5" customHeight="1">
      <c r="A123" s="568" t="s">
        <v>898</v>
      </c>
      <c r="B123" s="433" t="s">
        <v>1000</v>
      </c>
      <c r="C123" s="479" t="s">
        <v>1017</v>
      </c>
      <c r="D123" s="198" t="s">
        <v>158</v>
      </c>
      <c r="E123" s="239">
        <v>30</v>
      </c>
      <c r="F123" s="239"/>
      <c r="G123" s="569">
        <f t="shared" si="4"/>
        <v>0</v>
      </c>
    </row>
    <row r="124" spans="1:7" s="204" customFormat="1" ht="25.5" customHeight="1">
      <c r="A124" s="568" t="s">
        <v>899</v>
      </c>
      <c r="B124" s="433" t="s">
        <v>1001</v>
      </c>
      <c r="C124" s="479" t="s">
        <v>1017</v>
      </c>
      <c r="D124" s="198" t="s">
        <v>158</v>
      </c>
      <c r="E124" s="239">
        <v>9</v>
      </c>
      <c r="F124" s="239"/>
      <c r="G124" s="569">
        <f t="shared" si="4"/>
        <v>0</v>
      </c>
    </row>
    <row r="125" spans="1:7" s="204" customFormat="1" ht="25.5" customHeight="1">
      <c r="A125" s="568" t="s">
        <v>900</v>
      </c>
      <c r="B125" s="433" t="s">
        <v>577</v>
      </c>
      <c r="C125" s="479" t="s">
        <v>578</v>
      </c>
      <c r="D125" s="198" t="s">
        <v>158</v>
      </c>
      <c r="E125" s="239">
        <v>1</v>
      </c>
      <c r="F125" s="239"/>
      <c r="G125" s="569">
        <f t="shared" si="4"/>
        <v>0</v>
      </c>
    </row>
    <row r="126" spans="1:7" s="204" customFormat="1" ht="25.5" customHeight="1">
      <c r="A126" s="568" t="s">
        <v>901</v>
      </c>
      <c r="B126" s="433" t="s">
        <v>579</v>
      </c>
      <c r="C126" s="479" t="s">
        <v>580</v>
      </c>
      <c r="D126" s="198" t="s">
        <v>158</v>
      </c>
      <c r="E126" s="239">
        <v>1</v>
      </c>
      <c r="F126" s="239"/>
      <c r="G126" s="569">
        <f t="shared" si="4"/>
        <v>0</v>
      </c>
    </row>
    <row r="127" spans="1:7" s="204" customFormat="1" ht="25.5" customHeight="1">
      <c r="A127" s="568" t="s">
        <v>902</v>
      </c>
      <c r="B127" s="433" t="s">
        <v>581</v>
      </c>
      <c r="C127" s="479" t="s">
        <v>1018</v>
      </c>
      <c r="D127" s="198" t="s">
        <v>158</v>
      </c>
      <c r="E127" s="239">
        <v>1</v>
      </c>
      <c r="F127" s="239"/>
      <c r="G127" s="569">
        <f t="shared" si="4"/>
        <v>0</v>
      </c>
    </row>
    <row r="128" spans="1:7" s="204" customFormat="1" ht="25.5" customHeight="1">
      <c r="A128" s="568" t="s">
        <v>903</v>
      </c>
      <c r="B128" s="433" t="s">
        <v>582</v>
      </c>
      <c r="C128" s="479" t="s">
        <v>1003</v>
      </c>
      <c r="D128" s="198" t="s">
        <v>158</v>
      </c>
      <c r="E128" s="239">
        <v>1</v>
      </c>
      <c r="F128" s="239"/>
      <c r="G128" s="569">
        <f t="shared" si="4"/>
        <v>0</v>
      </c>
    </row>
    <row r="129" spans="1:7" s="204" customFormat="1" ht="25.5" customHeight="1">
      <c r="A129" s="568" t="s">
        <v>904</v>
      </c>
      <c r="B129" s="433" t="s">
        <v>583</v>
      </c>
      <c r="C129" s="479" t="s">
        <v>584</v>
      </c>
      <c r="D129" s="198" t="s">
        <v>158</v>
      </c>
      <c r="E129" s="239">
        <v>1</v>
      </c>
      <c r="F129" s="239"/>
      <c r="G129" s="569">
        <f t="shared" si="4"/>
        <v>0</v>
      </c>
    </row>
    <row r="130" spans="1:7" s="204" customFormat="1" ht="25.5" customHeight="1">
      <c r="A130" s="568" t="s">
        <v>905</v>
      </c>
      <c r="B130" s="433" t="s">
        <v>360</v>
      </c>
      <c r="C130" s="479" t="s">
        <v>1004</v>
      </c>
      <c r="D130" s="198" t="s">
        <v>158</v>
      </c>
      <c r="E130" s="239">
        <v>25</v>
      </c>
      <c r="F130" s="239"/>
      <c r="G130" s="569">
        <f t="shared" si="4"/>
        <v>0</v>
      </c>
    </row>
    <row r="131" spans="1:7" s="204" customFormat="1" ht="29.25" customHeight="1">
      <c r="A131" s="568" t="s">
        <v>1002</v>
      </c>
      <c r="B131" s="433" t="s">
        <v>361</v>
      </c>
      <c r="C131" s="479" t="s">
        <v>1005</v>
      </c>
      <c r="D131" s="198" t="s">
        <v>158</v>
      </c>
      <c r="E131" s="239">
        <v>2</v>
      </c>
      <c r="F131" s="239"/>
      <c r="G131" s="569">
        <f t="shared" si="4"/>
        <v>0</v>
      </c>
    </row>
    <row r="132" spans="1:7" s="204" customFormat="1" ht="25.5" customHeight="1">
      <c r="A132" s="568" t="s">
        <v>762</v>
      </c>
      <c r="B132" s="433" t="s">
        <v>362</v>
      </c>
      <c r="C132" s="479" t="s">
        <v>585</v>
      </c>
      <c r="D132" s="198" t="s">
        <v>158</v>
      </c>
      <c r="E132" s="239">
        <v>10</v>
      </c>
      <c r="F132" s="239"/>
      <c r="G132" s="569">
        <f t="shared" si="4"/>
        <v>0</v>
      </c>
    </row>
    <row r="133" spans="1:7" s="204" customFormat="1" ht="14" thickBot="1">
      <c r="A133" s="557"/>
      <c r="B133" s="412"/>
      <c r="C133" s="220"/>
      <c r="D133" s="221"/>
      <c r="E133" s="414"/>
      <c r="F133" s="414"/>
      <c r="G133" s="558"/>
    </row>
    <row r="134" spans="1:7" ht="19.5" customHeight="1">
      <c r="A134" s="553"/>
      <c r="B134" s="226"/>
      <c r="C134" s="227" t="s">
        <v>113</v>
      </c>
      <c r="D134" s="226"/>
      <c r="E134" s="416"/>
      <c r="F134" s="417"/>
      <c r="G134" s="554">
        <f>SUBTOTAL(9,G102:G133)</f>
        <v>0</v>
      </c>
    </row>
    <row r="135" spans="1:7" ht="12.75">
      <c r="A135" s="543"/>
      <c r="B135" s="180"/>
      <c r="C135" s="180"/>
      <c r="D135" s="180"/>
      <c r="E135" s="180"/>
      <c r="F135" s="180"/>
      <c r="G135" s="544"/>
    </row>
    <row r="136" spans="1:7" ht="15.75" customHeight="1">
      <c r="A136" s="545" t="s">
        <v>98</v>
      </c>
      <c r="B136" s="183"/>
      <c r="C136" s="184" t="s">
        <v>475</v>
      </c>
      <c r="D136" s="397"/>
      <c r="E136" s="398"/>
      <c r="F136" s="187"/>
      <c r="G136" s="546"/>
    </row>
    <row r="137" spans="1:7" ht="12.75">
      <c r="A137" s="547"/>
      <c r="B137" s="400"/>
      <c r="C137" s="232"/>
      <c r="D137" s="233"/>
      <c r="E137" s="401"/>
      <c r="F137" s="402"/>
      <c r="G137" s="548"/>
    </row>
    <row r="138" spans="1:7" s="204" customFormat="1" ht="18.75" customHeight="1">
      <c r="A138" s="568" t="s">
        <v>156</v>
      </c>
      <c r="B138" s="197"/>
      <c r="C138" s="136" t="s">
        <v>476</v>
      </c>
      <c r="D138" s="198" t="s">
        <v>158</v>
      </c>
      <c r="E138" s="906">
        <v>1</v>
      </c>
      <c r="F138" s="906"/>
      <c r="G138" s="569">
        <f>$E138*F138</f>
        <v>0</v>
      </c>
    </row>
    <row r="139" spans="1:7" s="204" customFormat="1" ht="18.75" customHeight="1">
      <c r="A139" s="568" t="s">
        <v>159</v>
      </c>
      <c r="B139" s="197"/>
      <c r="C139" s="136" t="s">
        <v>477</v>
      </c>
      <c r="D139" s="198" t="s">
        <v>158</v>
      </c>
      <c r="E139" s="906">
        <v>1</v>
      </c>
      <c r="F139" s="906"/>
      <c r="G139" s="569">
        <f>$E139*F139</f>
        <v>0</v>
      </c>
    </row>
    <row r="140" spans="1:7" s="204" customFormat="1" ht="18.75" customHeight="1">
      <c r="A140" s="568" t="s">
        <v>162</v>
      </c>
      <c r="B140" s="197"/>
      <c r="C140" s="136" t="s">
        <v>478</v>
      </c>
      <c r="D140" s="198" t="s">
        <v>158</v>
      </c>
      <c r="E140" s="906">
        <v>1</v>
      </c>
      <c r="F140" s="906"/>
      <c r="G140" s="569">
        <f>$E140*F140</f>
        <v>0</v>
      </c>
    </row>
    <row r="141" spans="1:7" s="204" customFormat="1" ht="18.75" customHeight="1">
      <c r="A141" s="568" t="s">
        <v>164</v>
      </c>
      <c r="B141" s="197"/>
      <c r="C141" s="136" t="s">
        <v>479</v>
      </c>
      <c r="D141" s="198" t="s">
        <v>158</v>
      </c>
      <c r="E141" s="906">
        <v>1</v>
      </c>
      <c r="F141" s="906"/>
      <c r="G141" s="569">
        <f aca="true" t="shared" si="5" ref="G141:G156">$E141*F141</f>
        <v>0</v>
      </c>
    </row>
    <row r="142" spans="1:7" s="204" customFormat="1" ht="18.75" customHeight="1">
      <c r="A142" s="568" t="s">
        <v>363</v>
      </c>
      <c r="B142" s="197"/>
      <c r="C142" s="136" t="s">
        <v>480</v>
      </c>
      <c r="D142" s="198" t="s">
        <v>158</v>
      </c>
      <c r="E142" s="906">
        <v>1</v>
      </c>
      <c r="F142" s="906"/>
      <c r="G142" s="569">
        <f t="shared" si="5"/>
        <v>0</v>
      </c>
    </row>
    <row r="143" spans="1:7" s="204" customFormat="1" ht="18.75" customHeight="1">
      <c r="A143" s="568" t="s">
        <v>364</v>
      </c>
      <c r="B143" s="197"/>
      <c r="C143" s="136" t="s">
        <v>481</v>
      </c>
      <c r="D143" s="198" t="s">
        <v>158</v>
      </c>
      <c r="E143" s="906">
        <v>5</v>
      </c>
      <c r="F143" s="906"/>
      <c r="G143" s="569">
        <f t="shared" si="5"/>
        <v>0</v>
      </c>
    </row>
    <row r="144" spans="1:7" s="204" customFormat="1" ht="18.75" customHeight="1">
      <c r="A144" s="568" t="s">
        <v>365</v>
      </c>
      <c r="B144" s="197"/>
      <c r="C144" s="136" t="s">
        <v>482</v>
      </c>
      <c r="D144" s="198" t="s">
        <v>158</v>
      </c>
      <c r="E144" s="906">
        <v>1</v>
      </c>
      <c r="F144" s="906"/>
      <c r="G144" s="569">
        <f t="shared" si="5"/>
        <v>0</v>
      </c>
    </row>
    <row r="145" spans="1:7" s="204" customFormat="1" ht="18.75" customHeight="1">
      <c r="A145" s="568" t="s">
        <v>366</v>
      </c>
      <c r="B145" s="197"/>
      <c r="C145" s="136" t="s">
        <v>483</v>
      </c>
      <c r="D145" s="198" t="s">
        <v>158</v>
      </c>
      <c r="E145" s="906">
        <v>2</v>
      </c>
      <c r="F145" s="906"/>
      <c r="G145" s="569">
        <f t="shared" si="5"/>
        <v>0</v>
      </c>
    </row>
    <row r="146" spans="1:7" s="204" customFormat="1" ht="18.75" customHeight="1">
      <c r="A146" s="568"/>
      <c r="B146" s="197"/>
      <c r="C146" s="136" t="s">
        <v>505</v>
      </c>
      <c r="D146" s="198" t="s">
        <v>158</v>
      </c>
      <c r="E146" s="906">
        <v>1</v>
      </c>
      <c r="F146" s="906"/>
      <c r="G146" s="569">
        <f t="shared" si="5"/>
        <v>0</v>
      </c>
    </row>
    <row r="147" spans="1:7" s="204" customFormat="1" ht="18.75" customHeight="1">
      <c r="A147" s="568" t="s">
        <v>367</v>
      </c>
      <c r="B147" s="197"/>
      <c r="C147" s="136" t="s">
        <v>484</v>
      </c>
      <c r="D147" s="198" t="s">
        <v>158</v>
      </c>
      <c r="E147" s="906">
        <v>8</v>
      </c>
      <c r="F147" s="906"/>
      <c r="G147" s="569">
        <f t="shared" si="5"/>
        <v>0</v>
      </c>
    </row>
    <row r="148" spans="1:7" s="204" customFormat="1" ht="18.75" customHeight="1">
      <c r="A148" s="568" t="s">
        <v>493</v>
      </c>
      <c r="B148" s="197"/>
      <c r="C148" s="136" t="s">
        <v>485</v>
      </c>
      <c r="D148" s="198" t="s">
        <v>158</v>
      </c>
      <c r="E148" s="906">
        <v>4</v>
      </c>
      <c r="F148" s="906"/>
      <c r="G148" s="569">
        <f t="shared" si="5"/>
        <v>0</v>
      </c>
    </row>
    <row r="149" spans="1:7" s="204" customFormat="1" ht="18.75" customHeight="1">
      <c r="A149" s="568" t="s">
        <v>494</v>
      </c>
      <c r="B149" s="197"/>
      <c r="C149" s="136" t="s">
        <v>486</v>
      </c>
      <c r="D149" s="198" t="s">
        <v>158</v>
      </c>
      <c r="E149" s="906">
        <v>9</v>
      </c>
      <c r="F149" s="906"/>
      <c r="G149" s="569">
        <f t="shared" si="5"/>
        <v>0</v>
      </c>
    </row>
    <row r="150" spans="1:7" s="204" customFormat="1" ht="18.75" customHeight="1">
      <c r="A150" s="568" t="s">
        <v>495</v>
      </c>
      <c r="B150" s="197"/>
      <c r="C150" s="136" t="s">
        <v>487</v>
      </c>
      <c r="D150" s="198" t="s">
        <v>158</v>
      </c>
      <c r="E150" s="906">
        <v>4</v>
      </c>
      <c r="F150" s="906"/>
      <c r="G150" s="569">
        <f t="shared" si="5"/>
        <v>0</v>
      </c>
    </row>
    <row r="151" spans="1:7" s="204" customFormat="1" ht="18.75" customHeight="1">
      <c r="A151" s="568" t="s">
        <v>496</v>
      </c>
      <c r="B151" s="197"/>
      <c r="C151" s="136" t="s">
        <v>488</v>
      </c>
      <c r="D151" s="198" t="s">
        <v>158</v>
      </c>
      <c r="E151" s="906">
        <v>2</v>
      </c>
      <c r="F151" s="906"/>
      <c r="G151" s="569">
        <f t="shared" si="5"/>
        <v>0</v>
      </c>
    </row>
    <row r="152" spans="1:7" s="204" customFormat="1" ht="18.75" customHeight="1">
      <c r="A152" s="568" t="s">
        <v>497</v>
      </c>
      <c r="B152" s="197"/>
      <c r="C152" s="136" t="s">
        <v>489</v>
      </c>
      <c r="D152" s="198" t="s">
        <v>158</v>
      </c>
      <c r="E152" s="906">
        <v>1</v>
      </c>
      <c r="F152" s="906"/>
      <c r="G152" s="569">
        <f t="shared" si="5"/>
        <v>0</v>
      </c>
    </row>
    <row r="153" spans="1:7" s="204" customFormat="1" ht="18.75" customHeight="1">
      <c r="A153" s="568" t="s">
        <v>498</v>
      </c>
      <c r="B153" s="197"/>
      <c r="C153" s="136" t="s">
        <v>490</v>
      </c>
      <c r="D153" s="198" t="s">
        <v>158</v>
      </c>
      <c r="E153" s="906">
        <v>1</v>
      </c>
      <c r="F153" s="906"/>
      <c r="G153" s="569">
        <f t="shared" si="5"/>
        <v>0</v>
      </c>
    </row>
    <row r="154" spans="1:7" s="204" customFormat="1" ht="29.25" customHeight="1">
      <c r="A154" s="568" t="s">
        <v>499</v>
      </c>
      <c r="B154" s="197"/>
      <c r="C154" s="136" t="s">
        <v>491</v>
      </c>
      <c r="D154" s="198" t="s">
        <v>158</v>
      </c>
      <c r="E154" s="906">
        <v>1</v>
      </c>
      <c r="F154" s="906"/>
      <c r="G154" s="569">
        <f t="shared" si="5"/>
        <v>0</v>
      </c>
    </row>
    <row r="155" spans="1:7" s="204" customFormat="1" ht="18.75" customHeight="1">
      <c r="A155" s="568" t="s">
        <v>500</v>
      </c>
      <c r="B155" s="197"/>
      <c r="C155" s="136" t="s">
        <v>492</v>
      </c>
      <c r="D155" s="198" t="s">
        <v>158</v>
      </c>
      <c r="E155" s="906">
        <v>4</v>
      </c>
      <c r="F155" s="906"/>
      <c r="G155" s="569">
        <f t="shared" si="5"/>
        <v>0</v>
      </c>
    </row>
    <row r="156" spans="1:7" s="204" customFormat="1" ht="18.75" customHeight="1">
      <c r="A156" s="568" t="s">
        <v>501</v>
      </c>
      <c r="B156" s="197"/>
      <c r="C156" s="136" t="s">
        <v>368</v>
      </c>
      <c r="D156" s="198" t="s">
        <v>158</v>
      </c>
      <c r="E156" s="906">
        <v>85</v>
      </c>
      <c r="F156" s="906"/>
      <c r="G156" s="569">
        <f t="shared" si="5"/>
        <v>0</v>
      </c>
    </row>
    <row r="157" spans="1:7" ht="14" thickBot="1">
      <c r="A157" s="551"/>
      <c r="B157" s="412"/>
      <c r="C157" s="220"/>
      <c r="D157" s="221"/>
      <c r="E157" s="413"/>
      <c r="F157" s="414"/>
      <c r="G157" s="552"/>
    </row>
    <row r="158" spans="1:7" ht="16.5" customHeight="1">
      <c r="A158" s="553"/>
      <c r="B158" s="226"/>
      <c r="C158" s="227" t="s">
        <v>113</v>
      </c>
      <c r="D158" s="226"/>
      <c r="E158" s="416"/>
      <c r="F158" s="417"/>
      <c r="G158" s="554">
        <f>SUBTOTAL(9,G137:G157)</f>
        <v>0</v>
      </c>
    </row>
    <row r="159" spans="1:7" ht="13" thickBot="1">
      <c r="A159" s="543"/>
      <c r="B159" s="180"/>
      <c r="C159" s="180"/>
      <c r="D159" s="180"/>
      <c r="E159" s="180"/>
      <c r="F159" s="180"/>
      <c r="G159" s="544"/>
    </row>
    <row r="160" spans="1:7" ht="15.75" customHeight="1" thickBot="1">
      <c r="A160" s="545" t="s">
        <v>166</v>
      </c>
      <c r="B160" s="183"/>
      <c r="C160" s="184" t="s">
        <v>502</v>
      </c>
      <c r="D160" s="397"/>
      <c r="E160" s="398"/>
      <c r="F160" s="187"/>
      <c r="G160" s="546"/>
    </row>
    <row r="161" spans="1:7" ht="12.75">
      <c r="A161" s="547"/>
      <c r="B161" s="400"/>
      <c r="C161" s="232"/>
      <c r="D161" s="233"/>
      <c r="E161" s="401"/>
      <c r="F161" s="402"/>
      <c r="G161" s="548"/>
    </row>
    <row r="162" spans="1:7" s="204" customFormat="1" ht="18.75" customHeight="1">
      <c r="A162" s="568" t="s">
        <v>168</v>
      </c>
      <c r="B162" s="197"/>
      <c r="C162" s="136" t="s">
        <v>503</v>
      </c>
      <c r="D162" s="198" t="s">
        <v>158</v>
      </c>
      <c r="E162" s="906">
        <v>1</v>
      </c>
      <c r="F162" s="906"/>
      <c r="G162" s="569">
        <f aca="true" t="shared" si="6" ref="G162:G175">$E162*F162</f>
        <v>0</v>
      </c>
    </row>
    <row r="163" spans="1:7" s="204" customFormat="1" ht="18.75" customHeight="1">
      <c r="A163" s="568" t="s">
        <v>268</v>
      </c>
      <c r="B163" s="197"/>
      <c r="C163" s="136" t="s">
        <v>504</v>
      </c>
      <c r="D163" s="198" t="s">
        <v>158</v>
      </c>
      <c r="E163" s="906">
        <v>1</v>
      </c>
      <c r="F163" s="906"/>
      <c r="G163" s="569">
        <f t="shared" si="6"/>
        <v>0</v>
      </c>
    </row>
    <row r="164" spans="1:7" s="204" customFormat="1" ht="18.75" customHeight="1">
      <c r="A164" s="568" t="s">
        <v>269</v>
      </c>
      <c r="B164" s="197"/>
      <c r="C164" s="136" t="s">
        <v>480</v>
      </c>
      <c r="D164" s="198" t="s">
        <v>158</v>
      </c>
      <c r="E164" s="906">
        <v>1</v>
      </c>
      <c r="F164" s="906"/>
      <c r="G164" s="569">
        <f t="shared" si="6"/>
        <v>0</v>
      </c>
    </row>
    <row r="165" spans="1:7" s="204" customFormat="1" ht="18.75" customHeight="1">
      <c r="A165" s="568" t="s">
        <v>329</v>
      </c>
      <c r="B165" s="197"/>
      <c r="C165" s="136" t="s">
        <v>481</v>
      </c>
      <c r="D165" s="198" t="s">
        <v>158</v>
      </c>
      <c r="E165" s="906">
        <v>4</v>
      </c>
      <c r="F165" s="906"/>
      <c r="G165" s="569">
        <f t="shared" si="6"/>
        <v>0</v>
      </c>
    </row>
    <row r="166" spans="1:7" s="204" customFormat="1" ht="18.75" customHeight="1">
      <c r="A166" s="568" t="s">
        <v>330</v>
      </c>
      <c r="B166" s="197"/>
      <c r="C166" s="136" t="s">
        <v>505</v>
      </c>
      <c r="D166" s="198" t="s">
        <v>158</v>
      </c>
      <c r="E166" s="906">
        <v>1</v>
      </c>
      <c r="F166" s="906"/>
      <c r="G166" s="569">
        <f t="shared" si="6"/>
        <v>0</v>
      </c>
    </row>
    <row r="167" spans="1:7" s="204" customFormat="1" ht="18.75" customHeight="1">
      <c r="A167" s="568" t="s">
        <v>331</v>
      </c>
      <c r="B167" s="197"/>
      <c r="C167" s="136" t="s">
        <v>506</v>
      </c>
      <c r="D167" s="198" t="s">
        <v>158</v>
      </c>
      <c r="E167" s="906">
        <v>1</v>
      </c>
      <c r="F167" s="906"/>
      <c r="G167" s="569">
        <f t="shared" si="6"/>
        <v>0</v>
      </c>
    </row>
    <row r="168" spans="1:7" s="204" customFormat="1" ht="18.75" customHeight="1">
      <c r="A168" s="568" t="s">
        <v>332</v>
      </c>
      <c r="B168" s="197"/>
      <c r="C168" s="136" t="s">
        <v>484</v>
      </c>
      <c r="D168" s="198" t="s">
        <v>158</v>
      </c>
      <c r="E168" s="906">
        <v>4</v>
      </c>
      <c r="F168" s="906"/>
      <c r="G168" s="569">
        <f t="shared" si="6"/>
        <v>0</v>
      </c>
    </row>
    <row r="169" spans="1:7" s="204" customFormat="1" ht="18.75" customHeight="1">
      <c r="A169" s="568" t="s">
        <v>333</v>
      </c>
      <c r="B169" s="197"/>
      <c r="C169" s="136" t="s">
        <v>485</v>
      </c>
      <c r="D169" s="198" t="s">
        <v>158</v>
      </c>
      <c r="E169" s="906">
        <v>1</v>
      </c>
      <c r="F169" s="906"/>
      <c r="G169" s="569">
        <f t="shared" si="6"/>
        <v>0</v>
      </c>
    </row>
    <row r="170" spans="1:7" s="204" customFormat="1" ht="18.75" customHeight="1">
      <c r="A170" s="568" t="s">
        <v>373</v>
      </c>
      <c r="B170" s="197"/>
      <c r="C170" s="136" t="s">
        <v>486</v>
      </c>
      <c r="D170" s="198" t="s">
        <v>158</v>
      </c>
      <c r="E170" s="906">
        <v>3</v>
      </c>
      <c r="F170" s="906"/>
      <c r="G170" s="569">
        <f t="shared" si="6"/>
        <v>0</v>
      </c>
    </row>
    <row r="171" spans="1:7" s="204" customFormat="1" ht="18.75" customHeight="1">
      <c r="A171" s="568" t="s">
        <v>374</v>
      </c>
      <c r="B171" s="197"/>
      <c r="C171" s="136" t="s">
        <v>487</v>
      </c>
      <c r="D171" s="198" t="s">
        <v>158</v>
      </c>
      <c r="E171" s="906">
        <v>1</v>
      </c>
      <c r="F171" s="906"/>
      <c r="G171" s="569">
        <f t="shared" si="6"/>
        <v>0</v>
      </c>
    </row>
    <row r="172" spans="1:7" s="204" customFormat="1" ht="18.75" customHeight="1">
      <c r="A172" s="568" t="s">
        <v>376</v>
      </c>
      <c r="B172" s="197"/>
      <c r="C172" s="136" t="s">
        <v>488</v>
      </c>
      <c r="D172" s="198" t="s">
        <v>158</v>
      </c>
      <c r="E172" s="906">
        <v>1</v>
      </c>
      <c r="F172" s="906"/>
      <c r="G172" s="569">
        <f t="shared" si="6"/>
        <v>0</v>
      </c>
    </row>
    <row r="173" spans="1:7" s="204" customFormat="1" ht="18.75" customHeight="1">
      <c r="A173" s="568" t="s">
        <v>378</v>
      </c>
      <c r="B173" s="197"/>
      <c r="C173" s="136" t="s">
        <v>507</v>
      </c>
      <c r="D173" s="198" t="s">
        <v>158</v>
      </c>
      <c r="E173" s="906">
        <v>1</v>
      </c>
      <c r="F173" s="906"/>
      <c r="G173" s="569">
        <f t="shared" si="6"/>
        <v>0</v>
      </c>
    </row>
    <row r="174" spans="1:7" s="204" customFormat="1" ht="18.75" customHeight="1">
      <c r="A174" s="568" t="s">
        <v>380</v>
      </c>
      <c r="B174" s="197"/>
      <c r="C174" s="136" t="s">
        <v>508</v>
      </c>
      <c r="D174" s="198" t="s">
        <v>158</v>
      </c>
      <c r="E174" s="906">
        <v>2</v>
      </c>
      <c r="F174" s="906"/>
      <c r="G174" s="569">
        <f t="shared" si="6"/>
        <v>0</v>
      </c>
    </row>
    <row r="175" spans="1:7" s="204" customFormat="1" ht="18.75" customHeight="1">
      <c r="A175" s="568" t="s">
        <v>382</v>
      </c>
      <c r="B175" s="197"/>
      <c r="C175" s="136" t="s">
        <v>368</v>
      </c>
      <c r="D175" s="198" t="s">
        <v>158</v>
      </c>
      <c r="E175" s="906">
        <v>40</v>
      </c>
      <c r="F175" s="906"/>
      <c r="G175" s="569">
        <f t="shared" si="6"/>
        <v>0</v>
      </c>
    </row>
    <row r="176" spans="1:7" ht="14" thickBot="1">
      <c r="A176" s="551"/>
      <c r="B176" s="412"/>
      <c r="C176" s="220"/>
      <c r="D176" s="221"/>
      <c r="E176" s="413"/>
      <c r="F176" s="414"/>
      <c r="G176" s="552"/>
    </row>
    <row r="177" spans="1:7" ht="18" customHeight="1" thickBot="1">
      <c r="A177" s="553"/>
      <c r="B177" s="226"/>
      <c r="C177" s="227" t="s">
        <v>113</v>
      </c>
      <c r="D177" s="226"/>
      <c r="E177" s="416"/>
      <c r="F177" s="417"/>
      <c r="G177" s="554">
        <f>SUBTOTAL(9,G161:G176)</f>
        <v>0</v>
      </c>
    </row>
    <row r="178" spans="1:7" ht="13" thickBot="1">
      <c r="A178" s="543"/>
      <c r="B178" s="180"/>
      <c r="C178" s="180"/>
      <c r="D178" s="180"/>
      <c r="E178" s="180"/>
      <c r="F178" s="180"/>
      <c r="G178" s="544"/>
    </row>
    <row r="179" spans="1:7" ht="15.75" customHeight="1" thickBot="1">
      <c r="A179" s="545" t="s">
        <v>170</v>
      </c>
      <c r="B179" s="183"/>
      <c r="C179" s="184" t="s">
        <v>509</v>
      </c>
      <c r="D179" s="397"/>
      <c r="E179" s="398"/>
      <c r="F179" s="187"/>
      <c r="G179" s="546"/>
    </row>
    <row r="180" spans="1:7" ht="12.75">
      <c r="A180" s="547"/>
      <c r="B180" s="400"/>
      <c r="C180" s="232"/>
      <c r="D180" s="233"/>
      <c r="E180" s="401"/>
      <c r="F180" s="402"/>
      <c r="G180" s="548"/>
    </row>
    <row r="181" spans="1:7" s="204" customFormat="1" ht="18.75" customHeight="1">
      <c r="A181" s="568" t="s">
        <v>171</v>
      </c>
      <c r="B181" s="197"/>
      <c r="C181" s="136" t="s">
        <v>510</v>
      </c>
      <c r="D181" s="198" t="s">
        <v>158</v>
      </c>
      <c r="E181" s="906">
        <v>1</v>
      </c>
      <c r="F181" s="906"/>
      <c r="G181" s="569">
        <f aca="true" t="shared" si="7" ref="G181:G188">$E181*F181</f>
        <v>0</v>
      </c>
    </row>
    <row r="182" spans="1:7" s="204" customFormat="1" ht="18.75" customHeight="1">
      <c r="A182" s="568" t="s">
        <v>172</v>
      </c>
      <c r="B182" s="197"/>
      <c r="C182" s="136" t="s">
        <v>511</v>
      </c>
      <c r="D182" s="198" t="s">
        <v>158</v>
      </c>
      <c r="E182" s="906">
        <v>1</v>
      </c>
      <c r="F182" s="906"/>
      <c r="G182" s="569">
        <f t="shared" si="7"/>
        <v>0</v>
      </c>
    </row>
    <row r="183" spans="1:7" s="204" customFormat="1" ht="18.75" customHeight="1">
      <c r="A183" s="568" t="s">
        <v>173</v>
      </c>
      <c r="B183" s="197"/>
      <c r="C183" s="136" t="s">
        <v>480</v>
      </c>
      <c r="D183" s="198" t="s">
        <v>158</v>
      </c>
      <c r="E183" s="906">
        <v>1</v>
      </c>
      <c r="F183" s="906"/>
      <c r="G183" s="569">
        <f t="shared" si="7"/>
        <v>0</v>
      </c>
    </row>
    <row r="184" spans="1:7" s="204" customFormat="1" ht="18.75" customHeight="1">
      <c r="A184" s="568" t="s">
        <v>174</v>
      </c>
      <c r="B184" s="197"/>
      <c r="C184" s="136" t="s">
        <v>481</v>
      </c>
      <c r="D184" s="198" t="s">
        <v>158</v>
      </c>
      <c r="E184" s="906">
        <v>1</v>
      </c>
      <c r="F184" s="906"/>
      <c r="G184" s="569">
        <f t="shared" si="7"/>
        <v>0</v>
      </c>
    </row>
    <row r="185" spans="1:7" s="204" customFormat="1" ht="18.75" customHeight="1">
      <c r="A185" s="568" t="s">
        <v>176</v>
      </c>
      <c r="B185" s="197"/>
      <c r="C185" s="136" t="s">
        <v>484</v>
      </c>
      <c r="D185" s="198" t="s">
        <v>158</v>
      </c>
      <c r="E185" s="906">
        <v>7</v>
      </c>
      <c r="F185" s="906"/>
      <c r="G185" s="569">
        <f t="shared" si="7"/>
        <v>0</v>
      </c>
    </row>
    <row r="186" spans="1:7" s="204" customFormat="1" ht="18.75" customHeight="1">
      <c r="A186" s="568" t="s">
        <v>178</v>
      </c>
      <c r="B186" s="197"/>
      <c r="C186" s="136" t="s">
        <v>486</v>
      </c>
      <c r="D186" s="198" t="s">
        <v>158</v>
      </c>
      <c r="E186" s="906">
        <v>2</v>
      </c>
      <c r="F186" s="906"/>
      <c r="G186" s="569">
        <f t="shared" si="7"/>
        <v>0</v>
      </c>
    </row>
    <row r="187" spans="1:7" s="204" customFormat="1" ht="18.75" customHeight="1">
      <c r="A187" s="568" t="s">
        <v>180</v>
      </c>
      <c r="B187" s="197"/>
      <c r="C187" s="136" t="s">
        <v>488</v>
      </c>
      <c r="D187" s="198" t="s">
        <v>158</v>
      </c>
      <c r="E187" s="906">
        <v>1</v>
      </c>
      <c r="F187" s="906"/>
      <c r="G187" s="569">
        <f t="shared" si="7"/>
        <v>0</v>
      </c>
    </row>
    <row r="188" spans="1:7" s="204" customFormat="1" ht="18.75" customHeight="1">
      <c r="A188" s="568" t="s">
        <v>182</v>
      </c>
      <c r="B188" s="197"/>
      <c r="C188" s="136" t="s">
        <v>512</v>
      </c>
      <c r="D188" s="198" t="s">
        <v>158</v>
      </c>
      <c r="E188" s="906">
        <v>1</v>
      </c>
      <c r="F188" s="906"/>
      <c r="G188" s="569">
        <f t="shared" si="7"/>
        <v>0</v>
      </c>
    </row>
    <row r="189" spans="1:7" ht="14" thickBot="1">
      <c r="A189" s="551"/>
      <c r="B189" s="412"/>
      <c r="C189" s="220"/>
      <c r="D189" s="221"/>
      <c r="E189" s="413"/>
      <c r="F189" s="414"/>
      <c r="G189" s="552"/>
    </row>
    <row r="190" spans="1:7" ht="16.5" customHeight="1" thickBot="1">
      <c r="A190" s="553"/>
      <c r="B190" s="226"/>
      <c r="C190" s="227" t="s">
        <v>113</v>
      </c>
      <c r="D190" s="226"/>
      <c r="E190" s="416"/>
      <c r="F190" s="417"/>
      <c r="G190" s="554">
        <f>SUBTOTAL(9,G180:G189)</f>
        <v>0</v>
      </c>
    </row>
    <row r="191" spans="1:7" ht="13" thickBot="1">
      <c r="A191" s="543"/>
      <c r="B191" s="180"/>
      <c r="C191" s="180"/>
      <c r="D191" s="180"/>
      <c r="E191" s="180"/>
      <c r="F191" s="180"/>
      <c r="G191" s="544"/>
    </row>
    <row r="192" spans="1:7" ht="15.75" customHeight="1" thickBot="1">
      <c r="A192" s="545" t="s">
        <v>183</v>
      </c>
      <c r="B192" s="183"/>
      <c r="C192" s="184" t="s">
        <v>513</v>
      </c>
      <c r="D192" s="397"/>
      <c r="E192" s="398"/>
      <c r="F192" s="187"/>
      <c r="G192" s="546"/>
    </row>
    <row r="193" spans="1:7" ht="12.75">
      <c r="A193" s="547"/>
      <c r="B193" s="400"/>
      <c r="C193" s="232"/>
      <c r="D193" s="233"/>
      <c r="E193" s="401"/>
      <c r="F193" s="402"/>
      <c r="G193" s="548"/>
    </row>
    <row r="194" spans="1:7" s="204" customFormat="1" ht="18.75" customHeight="1">
      <c r="A194" s="568" t="s">
        <v>185</v>
      </c>
      <c r="B194" s="197"/>
      <c r="C194" s="136" t="s">
        <v>514</v>
      </c>
      <c r="D194" s="198" t="s">
        <v>158</v>
      </c>
      <c r="E194" s="906">
        <v>1</v>
      </c>
      <c r="F194" s="906"/>
      <c r="G194" s="569">
        <f aca="true" t="shared" si="8" ref="G194:G210">$E194*F194</f>
        <v>0</v>
      </c>
    </row>
    <row r="195" spans="1:7" s="204" customFormat="1" ht="18.75" customHeight="1">
      <c r="A195" s="568" t="s">
        <v>187</v>
      </c>
      <c r="B195" s="197"/>
      <c r="C195" s="136" t="s">
        <v>504</v>
      </c>
      <c r="D195" s="198" t="s">
        <v>158</v>
      </c>
      <c r="E195" s="906">
        <v>1</v>
      </c>
      <c r="F195" s="906"/>
      <c r="G195" s="569">
        <f t="shared" si="8"/>
        <v>0</v>
      </c>
    </row>
    <row r="196" spans="1:7" s="204" customFormat="1" ht="18.75" customHeight="1">
      <c r="A196" s="568" t="s">
        <v>189</v>
      </c>
      <c r="B196" s="197"/>
      <c r="C196" s="136" t="s">
        <v>478</v>
      </c>
      <c r="D196" s="198" t="s">
        <v>158</v>
      </c>
      <c r="E196" s="906">
        <v>1</v>
      </c>
      <c r="F196" s="906"/>
      <c r="G196" s="569">
        <f t="shared" si="8"/>
        <v>0</v>
      </c>
    </row>
    <row r="197" spans="1:7" s="204" customFormat="1" ht="18.75" customHeight="1">
      <c r="A197" s="568" t="s">
        <v>282</v>
      </c>
      <c r="B197" s="197"/>
      <c r="C197" s="136" t="s">
        <v>515</v>
      </c>
      <c r="D197" s="198" t="s">
        <v>158</v>
      </c>
      <c r="E197" s="906">
        <v>1</v>
      </c>
      <c r="F197" s="906"/>
      <c r="G197" s="569">
        <f t="shared" si="8"/>
        <v>0</v>
      </c>
    </row>
    <row r="198" spans="1:7" s="204" customFormat="1" ht="18.75" customHeight="1">
      <c r="A198" s="568" t="s">
        <v>283</v>
      </c>
      <c r="B198" s="197"/>
      <c r="C198" s="136" t="s">
        <v>481</v>
      </c>
      <c r="D198" s="198" t="s">
        <v>158</v>
      </c>
      <c r="E198" s="906">
        <v>3</v>
      </c>
      <c r="F198" s="906"/>
      <c r="G198" s="569">
        <f t="shared" si="8"/>
        <v>0</v>
      </c>
    </row>
    <row r="199" spans="1:7" s="204" customFormat="1" ht="18.75" customHeight="1">
      <c r="A199" s="568" t="s">
        <v>284</v>
      </c>
      <c r="B199" s="197"/>
      <c r="C199" s="136" t="s">
        <v>505</v>
      </c>
      <c r="D199" s="198" t="s">
        <v>158</v>
      </c>
      <c r="E199" s="906">
        <v>3</v>
      </c>
      <c r="F199" s="906"/>
      <c r="G199" s="569">
        <f t="shared" si="8"/>
        <v>0</v>
      </c>
    </row>
    <row r="200" spans="1:7" s="204" customFormat="1" ht="18.75" customHeight="1">
      <c r="A200" s="568" t="s">
        <v>285</v>
      </c>
      <c r="B200" s="197"/>
      <c r="C200" s="136" t="s">
        <v>484</v>
      </c>
      <c r="D200" s="198" t="s">
        <v>158</v>
      </c>
      <c r="E200" s="906">
        <v>13</v>
      </c>
      <c r="F200" s="906"/>
      <c r="G200" s="569">
        <f t="shared" si="8"/>
        <v>0</v>
      </c>
    </row>
    <row r="201" spans="1:7" s="204" customFormat="1" ht="18.75" customHeight="1">
      <c r="A201" s="568" t="s">
        <v>286</v>
      </c>
      <c r="B201" s="197"/>
      <c r="C201" s="136" t="s">
        <v>485</v>
      </c>
      <c r="D201" s="198" t="s">
        <v>158</v>
      </c>
      <c r="E201" s="906">
        <v>4</v>
      </c>
      <c r="F201" s="906"/>
      <c r="G201" s="569">
        <f t="shared" si="8"/>
        <v>0</v>
      </c>
    </row>
    <row r="202" spans="1:7" s="204" customFormat="1" ht="18.75" customHeight="1">
      <c r="A202" s="568" t="s">
        <v>287</v>
      </c>
      <c r="B202" s="197"/>
      <c r="C202" s="136" t="s">
        <v>486</v>
      </c>
      <c r="D202" s="198" t="s">
        <v>158</v>
      </c>
      <c r="E202" s="906">
        <v>7</v>
      </c>
      <c r="F202" s="906"/>
      <c r="G202" s="569">
        <f t="shared" si="8"/>
        <v>0</v>
      </c>
    </row>
    <row r="203" spans="1:7" s="204" customFormat="1" ht="18.75" customHeight="1">
      <c r="A203" s="568" t="s">
        <v>288</v>
      </c>
      <c r="B203" s="197"/>
      <c r="C203" s="136" t="s">
        <v>487</v>
      </c>
      <c r="D203" s="198" t="s">
        <v>158</v>
      </c>
      <c r="E203" s="906">
        <v>3</v>
      </c>
      <c r="F203" s="906"/>
      <c r="G203" s="569">
        <f t="shared" si="8"/>
        <v>0</v>
      </c>
    </row>
    <row r="204" spans="1:7" s="204" customFormat="1" ht="18.75" customHeight="1">
      <c r="A204" s="568" t="s">
        <v>535</v>
      </c>
      <c r="B204" s="197"/>
      <c r="C204" s="136" t="s">
        <v>516</v>
      </c>
      <c r="D204" s="198" t="s">
        <v>158</v>
      </c>
      <c r="E204" s="906">
        <v>1</v>
      </c>
      <c r="F204" s="906"/>
      <c r="G204" s="569">
        <f t="shared" si="8"/>
        <v>0</v>
      </c>
    </row>
    <row r="205" spans="1:7" s="204" customFormat="1" ht="18.75" customHeight="1">
      <c r="A205" s="568" t="s">
        <v>536</v>
      </c>
      <c r="B205" s="197"/>
      <c r="C205" s="136" t="s">
        <v>488</v>
      </c>
      <c r="D205" s="198" t="s">
        <v>158</v>
      </c>
      <c r="E205" s="906">
        <v>3</v>
      </c>
      <c r="F205" s="906"/>
      <c r="G205" s="569">
        <f t="shared" si="8"/>
        <v>0</v>
      </c>
    </row>
    <row r="206" spans="1:7" s="204" customFormat="1" ht="18.75" customHeight="1">
      <c r="A206" s="568" t="s">
        <v>537</v>
      </c>
      <c r="B206" s="197"/>
      <c r="C206" s="136" t="s">
        <v>507</v>
      </c>
      <c r="D206" s="198" t="s">
        <v>158</v>
      </c>
      <c r="E206" s="906">
        <v>2</v>
      </c>
      <c r="F206" s="906"/>
      <c r="G206" s="569">
        <f t="shared" si="8"/>
        <v>0</v>
      </c>
    </row>
    <row r="207" spans="1:7" s="204" customFormat="1" ht="18.75" customHeight="1">
      <c r="A207" s="568" t="s">
        <v>538</v>
      </c>
      <c r="B207" s="197">
        <v>104</v>
      </c>
      <c r="C207" s="136" t="s">
        <v>490</v>
      </c>
      <c r="D207" s="198" t="s">
        <v>158</v>
      </c>
      <c r="E207" s="906">
        <v>1</v>
      </c>
      <c r="F207" s="906"/>
      <c r="G207" s="569">
        <f t="shared" si="8"/>
        <v>0</v>
      </c>
    </row>
    <row r="208" spans="1:7" s="204" customFormat="1" ht="18.75" customHeight="1">
      <c r="A208" s="568" t="s">
        <v>539</v>
      </c>
      <c r="B208" s="197"/>
      <c r="C208" s="136" t="s">
        <v>517</v>
      </c>
      <c r="D208" s="198" t="s">
        <v>158</v>
      </c>
      <c r="E208" s="906">
        <v>1</v>
      </c>
      <c r="F208" s="906"/>
      <c r="G208" s="569">
        <f t="shared" si="8"/>
        <v>0</v>
      </c>
    </row>
    <row r="209" spans="1:7" s="204" customFormat="1" ht="18.75" customHeight="1">
      <c r="A209" s="568" t="s">
        <v>540</v>
      </c>
      <c r="B209" s="197"/>
      <c r="C209" s="136" t="s">
        <v>508</v>
      </c>
      <c r="D209" s="198" t="s">
        <v>158</v>
      </c>
      <c r="E209" s="906">
        <v>3</v>
      </c>
      <c r="F209" s="906"/>
      <c r="G209" s="569">
        <f t="shared" si="8"/>
        <v>0</v>
      </c>
    </row>
    <row r="210" spans="1:7" s="204" customFormat="1" ht="18.75" customHeight="1">
      <c r="A210" s="568" t="s">
        <v>1019</v>
      </c>
      <c r="B210" s="197"/>
      <c r="C210" s="136" t="s">
        <v>368</v>
      </c>
      <c r="D210" s="198" t="s">
        <v>158</v>
      </c>
      <c r="E210" s="906">
        <v>55</v>
      </c>
      <c r="F210" s="906"/>
      <c r="G210" s="569">
        <f t="shared" si="8"/>
        <v>0</v>
      </c>
    </row>
    <row r="211" spans="1:7" ht="14" thickBot="1">
      <c r="A211" s="551"/>
      <c r="B211" s="412"/>
      <c r="C211" s="220"/>
      <c r="D211" s="221"/>
      <c r="E211" s="413"/>
      <c r="F211" s="414"/>
      <c r="G211" s="552"/>
    </row>
    <row r="212" spans="1:7" ht="16.5" customHeight="1" thickBot="1">
      <c r="A212" s="553"/>
      <c r="B212" s="226"/>
      <c r="C212" s="227" t="s">
        <v>113</v>
      </c>
      <c r="D212" s="226"/>
      <c r="E212" s="416"/>
      <c r="F212" s="417"/>
      <c r="G212" s="554">
        <f>SUBTOTAL(9,G193:G211)</f>
        <v>0</v>
      </c>
    </row>
    <row r="213" spans="1:7" ht="13" thickBot="1">
      <c r="A213" s="543"/>
      <c r="B213" s="180"/>
      <c r="C213" s="180"/>
      <c r="D213" s="180"/>
      <c r="E213" s="180"/>
      <c r="F213" s="180"/>
      <c r="G213" s="544"/>
    </row>
    <row r="214" spans="1:7" ht="15.75" customHeight="1" thickBot="1">
      <c r="A214" s="545" t="s">
        <v>139</v>
      </c>
      <c r="B214" s="183"/>
      <c r="C214" s="184" t="s">
        <v>518</v>
      </c>
      <c r="D214" s="397"/>
      <c r="E214" s="398"/>
      <c r="F214" s="187"/>
      <c r="G214" s="546"/>
    </row>
    <row r="215" spans="1:7" ht="12.75">
      <c r="A215" s="547"/>
      <c r="B215" s="400"/>
      <c r="C215" s="232"/>
      <c r="D215" s="233"/>
      <c r="E215" s="401"/>
      <c r="F215" s="402"/>
      <c r="G215" s="548"/>
    </row>
    <row r="216" spans="1:7" s="204" customFormat="1" ht="18.75" customHeight="1">
      <c r="A216" s="568" t="s">
        <v>192</v>
      </c>
      <c r="B216" s="197"/>
      <c r="C216" s="136" t="s">
        <v>519</v>
      </c>
      <c r="D216" s="198" t="s">
        <v>116</v>
      </c>
      <c r="E216" s="906">
        <v>25</v>
      </c>
      <c r="F216" s="906"/>
      <c r="G216" s="569">
        <f aca="true" t="shared" si="9" ref="G216:G228">$E216*F216</f>
        <v>0</v>
      </c>
    </row>
    <row r="217" spans="1:7" s="204" customFormat="1" ht="18.75" customHeight="1">
      <c r="A217" s="568" t="s">
        <v>193</v>
      </c>
      <c r="B217" s="197"/>
      <c r="C217" s="136" t="s">
        <v>520</v>
      </c>
      <c r="D217" s="198" t="s">
        <v>116</v>
      </c>
      <c r="E217" s="906">
        <v>65</v>
      </c>
      <c r="F217" s="906"/>
      <c r="G217" s="569">
        <f t="shared" si="9"/>
        <v>0</v>
      </c>
    </row>
    <row r="218" spans="1:7" s="204" customFormat="1" ht="18.75" customHeight="1">
      <c r="A218" s="568" t="s">
        <v>194</v>
      </c>
      <c r="B218" s="197"/>
      <c r="C218" s="136" t="s">
        <v>521</v>
      </c>
      <c r="D218" s="198" t="s">
        <v>116</v>
      </c>
      <c r="E218" s="906">
        <v>25</v>
      </c>
      <c r="F218" s="906"/>
      <c r="G218" s="569">
        <f t="shared" si="9"/>
        <v>0</v>
      </c>
    </row>
    <row r="219" spans="1:7" s="204" customFormat="1" ht="18.75" customHeight="1">
      <c r="A219" s="568" t="s">
        <v>195</v>
      </c>
      <c r="B219" s="197"/>
      <c r="C219" s="136" t="s">
        <v>522</v>
      </c>
      <c r="D219" s="198" t="s">
        <v>158</v>
      </c>
      <c r="E219" s="906">
        <v>15</v>
      </c>
      <c r="F219" s="906"/>
      <c r="G219" s="569">
        <f t="shared" si="9"/>
        <v>0</v>
      </c>
    </row>
    <row r="220" spans="1:7" s="204" customFormat="1" ht="18.75" customHeight="1">
      <c r="A220" s="568" t="s">
        <v>289</v>
      </c>
      <c r="B220" s="197"/>
      <c r="C220" s="136" t="s">
        <v>523</v>
      </c>
      <c r="D220" s="198" t="s">
        <v>158</v>
      </c>
      <c r="E220" s="906">
        <v>11</v>
      </c>
      <c r="F220" s="906"/>
      <c r="G220" s="569">
        <f t="shared" si="9"/>
        <v>0</v>
      </c>
    </row>
    <row r="221" spans="1:7" s="204" customFormat="1" ht="18.75" customHeight="1">
      <c r="A221" s="568" t="s">
        <v>290</v>
      </c>
      <c r="B221" s="197"/>
      <c r="C221" s="136" t="s">
        <v>524</v>
      </c>
      <c r="D221" s="198" t="s">
        <v>158</v>
      </c>
      <c r="E221" s="906">
        <v>11</v>
      </c>
      <c r="F221" s="906"/>
      <c r="G221" s="569">
        <f t="shared" si="9"/>
        <v>0</v>
      </c>
    </row>
    <row r="222" spans="1:7" s="204" customFormat="1" ht="18.75" customHeight="1">
      <c r="A222" s="568" t="s">
        <v>336</v>
      </c>
      <c r="B222" s="197"/>
      <c r="C222" s="136" t="s">
        <v>525</v>
      </c>
      <c r="D222" s="198" t="s">
        <v>158</v>
      </c>
      <c r="E222" s="906">
        <v>70</v>
      </c>
      <c r="F222" s="906"/>
      <c r="G222" s="569">
        <f t="shared" si="9"/>
        <v>0</v>
      </c>
    </row>
    <row r="223" spans="1:7" s="204" customFormat="1" ht="18.75" customHeight="1">
      <c r="A223" s="568" t="s">
        <v>337</v>
      </c>
      <c r="B223" s="197"/>
      <c r="C223" s="136" t="s">
        <v>526</v>
      </c>
      <c r="D223" s="198" t="s">
        <v>158</v>
      </c>
      <c r="E223" s="906">
        <v>3</v>
      </c>
      <c r="F223" s="906"/>
      <c r="G223" s="569">
        <f t="shared" si="9"/>
        <v>0</v>
      </c>
    </row>
    <row r="224" spans="1:7" s="204" customFormat="1" ht="18.75" customHeight="1">
      <c r="A224" s="568" t="s">
        <v>343</v>
      </c>
      <c r="B224" s="197"/>
      <c r="C224" s="136" t="s">
        <v>527</v>
      </c>
      <c r="D224" s="198" t="s">
        <v>158</v>
      </c>
      <c r="E224" s="906">
        <v>25</v>
      </c>
      <c r="F224" s="906"/>
      <c r="G224" s="569">
        <f t="shared" si="9"/>
        <v>0</v>
      </c>
    </row>
    <row r="225" spans="1:7" s="204" customFormat="1" ht="18.75" customHeight="1">
      <c r="A225" s="568" t="s">
        <v>541</v>
      </c>
      <c r="B225" s="197"/>
      <c r="C225" s="136" t="s">
        <v>528</v>
      </c>
      <c r="D225" s="198" t="s">
        <v>158</v>
      </c>
      <c r="E225" s="906">
        <v>6</v>
      </c>
      <c r="F225" s="906"/>
      <c r="G225" s="569">
        <f t="shared" si="9"/>
        <v>0</v>
      </c>
    </row>
    <row r="226" spans="1:7" s="204" customFormat="1" ht="18.75" customHeight="1">
      <c r="A226" s="568" t="s">
        <v>542</v>
      </c>
      <c r="B226" s="197"/>
      <c r="C226" s="136" t="s">
        <v>529</v>
      </c>
      <c r="D226" s="198" t="s">
        <v>158</v>
      </c>
      <c r="E226" s="906">
        <v>130</v>
      </c>
      <c r="F226" s="906"/>
      <c r="G226" s="569">
        <f t="shared" si="9"/>
        <v>0</v>
      </c>
    </row>
    <row r="227" spans="1:7" s="204" customFormat="1" ht="18.75" customHeight="1">
      <c r="A227" s="568" t="s">
        <v>543</v>
      </c>
      <c r="B227" s="197"/>
      <c r="C227" s="136" t="s">
        <v>530</v>
      </c>
      <c r="D227" s="198" t="s">
        <v>158</v>
      </c>
      <c r="E227" s="906">
        <v>3</v>
      </c>
      <c r="F227" s="906"/>
      <c r="G227" s="569">
        <f t="shared" si="9"/>
        <v>0</v>
      </c>
    </row>
    <row r="228" spans="1:7" s="204" customFormat="1" ht="18.75" customHeight="1">
      <c r="A228" s="568" t="s">
        <v>544</v>
      </c>
      <c r="B228" s="197"/>
      <c r="C228" s="136" t="s">
        <v>531</v>
      </c>
      <c r="D228" s="198" t="s">
        <v>158</v>
      </c>
      <c r="E228" s="906">
        <v>1</v>
      </c>
      <c r="F228" s="906"/>
      <c r="G228" s="569">
        <f t="shared" si="9"/>
        <v>0</v>
      </c>
    </row>
    <row r="229" spans="1:7" ht="14" thickBot="1">
      <c r="A229" s="551"/>
      <c r="B229" s="412"/>
      <c r="C229" s="220"/>
      <c r="D229" s="221"/>
      <c r="E229" s="413"/>
      <c r="F229" s="414"/>
      <c r="G229" s="552"/>
    </row>
    <row r="230" spans="1:7" ht="18.75" customHeight="1" thickBot="1">
      <c r="A230" s="553"/>
      <c r="B230" s="226"/>
      <c r="C230" s="227" t="s">
        <v>113</v>
      </c>
      <c r="D230" s="226"/>
      <c r="E230" s="416"/>
      <c r="F230" s="417"/>
      <c r="G230" s="554">
        <f>SUBTOTAL(9,G215:G229)</f>
        <v>0</v>
      </c>
    </row>
    <row r="231" spans="1:7" ht="13" thickBot="1">
      <c r="A231" s="543"/>
      <c r="B231" s="180"/>
      <c r="C231" s="180"/>
      <c r="D231" s="180"/>
      <c r="E231" s="180"/>
      <c r="F231" s="180"/>
      <c r="G231" s="544"/>
    </row>
    <row r="232" spans="1:7" ht="13" thickBot="1">
      <c r="A232" s="545" t="s">
        <v>197</v>
      </c>
      <c r="B232" s="183"/>
      <c r="C232" s="184" t="s">
        <v>344</v>
      </c>
      <c r="D232" s="397"/>
      <c r="E232" s="398"/>
      <c r="F232" s="187"/>
      <c r="G232" s="546"/>
    </row>
    <row r="233" spans="1:7" ht="12.75">
      <c r="A233" s="547"/>
      <c r="B233" s="400"/>
      <c r="C233" s="232"/>
      <c r="D233" s="233"/>
      <c r="E233" s="401"/>
      <c r="F233" s="402"/>
      <c r="G233" s="548"/>
    </row>
    <row r="234" spans="1:7" s="204" customFormat="1" ht="13">
      <c r="A234" s="568" t="s">
        <v>198</v>
      </c>
      <c r="B234" s="197"/>
      <c r="C234" s="479" t="s">
        <v>532</v>
      </c>
      <c r="D234" s="1427" t="s">
        <v>161</v>
      </c>
      <c r="E234" s="1428">
        <v>1</v>
      </c>
      <c r="F234" s="1428"/>
      <c r="G234" s="1429">
        <f>$E234*F234</f>
        <v>0</v>
      </c>
    </row>
    <row r="235" spans="1:7" s="204" customFormat="1" ht="13">
      <c r="A235" s="568" t="s">
        <v>199</v>
      </c>
      <c r="B235" s="197"/>
      <c r="C235" s="479" t="s">
        <v>369</v>
      </c>
      <c r="D235" s="1427"/>
      <c r="E235" s="1428"/>
      <c r="F235" s="1428"/>
      <c r="G235" s="1429"/>
    </row>
    <row r="236" spans="1:7" s="204" customFormat="1" ht="13">
      <c r="A236" s="568" t="s">
        <v>201</v>
      </c>
      <c r="B236" s="197"/>
      <c r="C236" s="479" t="s">
        <v>370</v>
      </c>
      <c r="D236" s="1427"/>
      <c r="E236" s="1428"/>
      <c r="F236" s="1428"/>
      <c r="G236" s="1429"/>
    </row>
    <row r="237" spans="1:7" s="204" customFormat="1" ht="13">
      <c r="A237" s="568" t="s">
        <v>202</v>
      </c>
      <c r="B237" s="197"/>
      <c r="C237" s="479" t="s">
        <v>371</v>
      </c>
      <c r="D237" s="1427"/>
      <c r="E237" s="1428"/>
      <c r="F237" s="1428"/>
      <c r="G237" s="1429"/>
    </row>
    <row r="238" spans="1:7" s="204" customFormat="1" ht="13">
      <c r="A238" s="568" t="s">
        <v>203</v>
      </c>
      <c r="B238" s="197"/>
      <c r="C238" s="479" t="s">
        <v>533</v>
      </c>
      <c r="D238" s="1427"/>
      <c r="E238" s="1428"/>
      <c r="F238" s="1428"/>
      <c r="G238" s="1429"/>
    </row>
    <row r="239" spans="1:7" s="204" customFormat="1" ht="13">
      <c r="A239" s="568" t="s">
        <v>204</v>
      </c>
      <c r="B239" s="197"/>
      <c r="C239" s="479" t="s">
        <v>534</v>
      </c>
      <c r="D239" s="1427"/>
      <c r="E239" s="1428"/>
      <c r="F239" s="1428"/>
      <c r="G239" s="1429"/>
    </row>
    <row r="240" spans="1:7" s="204" customFormat="1" ht="13">
      <c r="A240" s="568" t="s">
        <v>205</v>
      </c>
      <c r="B240" s="197"/>
      <c r="C240" s="479" t="s">
        <v>372</v>
      </c>
      <c r="D240" s="1427"/>
      <c r="E240" s="1428"/>
      <c r="F240" s="1428"/>
      <c r="G240" s="1429"/>
    </row>
    <row r="241" spans="1:7" s="204" customFormat="1" ht="13">
      <c r="A241" s="568" t="s">
        <v>208</v>
      </c>
      <c r="B241" s="197"/>
      <c r="C241" s="479" t="s">
        <v>375</v>
      </c>
      <c r="D241" s="1427"/>
      <c r="E241" s="1428"/>
      <c r="F241" s="1428"/>
      <c r="G241" s="1429"/>
    </row>
    <row r="242" spans="1:7" s="204" customFormat="1" ht="13">
      <c r="A242" s="568" t="s">
        <v>209</v>
      </c>
      <c r="B242" s="197"/>
      <c r="C242" s="479" t="s">
        <v>377</v>
      </c>
      <c r="D242" s="1427"/>
      <c r="E242" s="1428"/>
      <c r="F242" s="1428"/>
      <c r="G242" s="1429"/>
    </row>
    <row r="243" spans="1:7" s="204" customFormat="1" ht="13">
      <c r="A243" s="568" t="s">
        <v>210</v>
      </c>
      <c r="B243" s="197"/>
      <c r="C243" s="479" t="s">
        <v>379</v>
      </c>
      <c r="D243" s="1427"/>
      <c r="E243" s="1428"/>
      <c r="F243" s="1428"/>
      <c r="G243" s="1429"/>
    </row>
    <row r="244" spans="1:7" s="204" customFormat="1" ht="13">
      <c r="A244" s="568" t="s">
        <v>211</v>
      </c>
      <c r="B244" s="197"/>
      <c r="C244" s="479" t="s">
        <v>381</v>
      </c>
      <c r="D244" s="1427"/>
      <c r="E244" s="1428"/>
      <c r="F244" s="1428"/>
      <c r="G244" s="1429"/>
    </row>
    <row r="245" spans="1:7" s="204" customFormat="1" ht="13">
      <c r="A245" s="568" t="s">
        <v>214</v>
      </c>
      <c r="B245" s="197"/>
      <c r="C245" s="479" t="s">
        <v>913</v>
      </c>
      <c r="D245" s="1427"/>
      <c r="E245" s="1428"/>
      <c r="F245" s="1428"/>
      <c r="G245" s="1429"/>
    </row>
    <row r="246" spans="1:7" s="204" customFormat="1" ht="13">
      <c r="A246" s="568" t="s">
        <v>217</v>
      </c>
      <c r="B246" s="197"/>
      <c r="C246" s="479" t="s">
        <v>383</v>
      </c>
      <c r="D246" s="1427"/>
      <c r="E246" s="1428"/>
      <c r="F246" s="1428"/>
      <c r="G246" s="1429"/>
    </row>
    <row r="247" spans="1:7" s="204" customFormat="1" ht="13">
      <c r="A247" s="568" t="s">
        <v>220</v>
      </c>
      <c r="B247" s="197"/>
      <c r="C247" s="479" t="s">
        <v>384</v>
      </c>
      <c r="D247" s="1427"/>
      <c r="E247" s="1428"/>
      <c r="F247" s="1428"/>
      <c r="G247" s="1429"/>
    </row>
    <row r="248" spans="1:7" s="204" customFormat="1" ht="13">
      <c r="A248" s="568" t="s">
        <v>223</v>
      </c>
      <c r="B248" s="197"/>
      <c r="C248" s="479" t="s">
        <v>385</v>
      </c>
      <c r="D248" s="1427"/>
      <c r="E248" s="1428"/>
      <c r="F248" s="1428"/>
      <c r="G248" s="1429"/>
    </row>
    <row r="249" spans="1:7" s="204" customFormat="1" ht="13">
      <c r="A249" s="568" t="s">
        <v>226</v>
      </c>
      <c r="B249" s="197"/>
      <c r="C249" s="479" t="s">
        <v>386</v>
      </c>
      <c r="D249" s="1427"/>
      <c r="E249" s="1428"/>
      <c r="F249" s="1428"/>
      <c r="G249" s="1429"/>
    </row>
    <row r="250" spans="1:7" s="204" customFormat="1" ht="13">
      <c r="A250" s="568" t="s">
        <v>545</v>
      </c>
      <c r="B250" s="197"/>
      <c r="C250" s="479" t="s">
        <v>387</v>
      </c>
      <c r="D250" s="1427"/>
      <c r="E250" s="1428"/>
      <c r="F250" s="1428"/>
      <c r="G250" s="1429"/>
    </row>
    <row r="251" spans="1:7" s="204" customFormat="1" ht="13">
      <c r="A251" s="568" t="s">
        <v>546</v>
      </c>
      <c r="B251" s="197"/>
      <c r="C251" s="479" t="s">
        <v>388</v>
      </c>
      <c r="D251" s="1427"/>
      <c r="E251" s="1428"/>
      <c r="F251" s="1428"/>
      <c r="G251" s="1429"/>
    </row>
    <row r="252" spans="1:7" ht="14" thickBot="1">
      <c r="A252" s="551"/>
      <c r="B252" s="412"/>
      <c r="C252" s="220"/>
      <c r="D252" s="221"/>
      <c r="E252" s="413"/>
      <c r="F252" s="414"/>
      <c r="G252" s="552"/>
    </row>
    <row r="253" spans="1:7" ht="17.25" customHeight="1">
      <c r="A253" s="553"/>
      <c r="B253" s="226"/>
      <c r="C253" s="227" t="s">
        <v>113</v>
      </c>
      <c r="D253" s="226"/>
      <c r="E253" s="416"/>
      <c r="F253" s="417"/>
      <c r="G253" s="554">
        <f>SUBTOTAL(9,G233:G252)</f>
        <v>0</v>
      </c>
    </row>
    <row r="254" spans="1:7" ht="12.75">
      <c r="A254" s="543"/>
      <c r="B254" s="180"/>
      <c r="C254" s="180"/>
      <c r="D254" s="180"/>
      <c r="E254" s="180"/>
      <c r="F254" s="180"/>
      <c r="G254" s="544"/>
    </row>
    <row r="255" spans="1:7" ht="12.75">
      <c r="A255" s="545" t="s">
        <v>291</v>
      </c>
      <c r="B255" s="183"/>
      <c r="C255" s="184" t="s">
        <v>346</v>
      </c>
      <c r="D255" s="397"/>
      <c r="E255" s="440"/>
      <c r="F255" s="441"/>
      <c r="G255" s="546"/>
    </row>
    <row r="256" spans="1:7" ht="12.75">
      <c r="A256" s="547"/>
      <c r="B256" s="400"/>
      <c r="C256" s="232"/>
      <c r="D256" s="233"/>
      <c r="E256" s="401"/>
      <c r="F256" s="402"/>
      <c r="G256" s="548"/>
    </row>
    <row r="257" spans="1:7" ht="51.75" customHeight="1">
      <c r="A257" s="561" t="s">
        <v>389</v>
      </c>
      <c r="B257" s="489"/>
      <c r="C257" s="492" t="s">
        <v>247</v>
      </c>
      <c r="D257" s="489"/>
      <c r="E257" s="493"/>
      <c r="F257" s="239"/>
      <c r="G257" s="562">
        <f>$E257*F257</f>
        <v>0</v>
      </c>
    </row>
    <row r="258" spans="1:7" ht="12.75">
      <c r="A258" s="559"/>
      <c r="B258" s="153"/>
      <c r="C258" s="299"/>
      <c r="D258" s="153"/>
      <c r="E258" s="450"/>
      <c r="F258" s="451"/>
      <c r="G258" s="560"/>
    </row>
    <row r="259" spans="1:7" ht="17.25" customHeight="1">
      <c r="A259" s="553"/>
      <c r="B259" s="226"/>
      <c r="C259" s="227" t="s">
        <v>113</v>
      </c>
      <c r="D259" s="226"/>
      <c r="E259" s="303"/>
      <c r="F259" s="304"/>
      <c r="G259" s="554">
        <f>SUBTOTAL(9,G256:G258)</f>
        <v>0</v>
      </c>
    </row>
    <row r="260" spans="1:7" ht="12.75">
      <c r="A260" s="543"/>
      <c r="B260" s="180"/>
      <c r="C260" s="180"/>
      <c r="D260" s="180"/>
      <c r="E260" s="180"/>
      <c r="F260" s="180"/>
      <c r="G260" s="544"/>
    </row>
    <row r="261" spans="1:7" ht="27.75" customHeight="1">
      <c r="A261" s="563"/>
      <c r="B261" s="564"/>
      <c r="C261" s="565" t="s">
        <v>38</v>
      </c>
      <c r="D261" s="566"/>
      <c r="E261" s="566"/>
      <c r="F261" s="566"/>
      <c r="G261" s="567">
        <f>SUBTOTAL(9,G33:G259)</f>
        <v>0</v>
      </c>
    </row>
    <row r="263" spans="1:7" s="480" customFormat="1" ht="12.75">
      <c r="A263" s="72"/>
      <c r="B263" s="491"/>
      <c r="C263" s="491"/>
      <c r="D263" s="75"/>
      <c r="E263" s="76"/>
      <c r="F263" s="76"/>
      <c r="G263" s="511"/>
    </row>
    <row r="264" spans="1:6" s="480" customFormat="1" ht="12.75">
      <c r="A264" s="72"/>
      <c r="B264" s="491"/>
      <c r="C264" s="491"/>
      <c r="D264" s="75"/>
      <c r="E264" s="76"/>
      <c r="F264" s="76"/>
    </row>
    <row r="265" spans="1:6" s="480" customFormat="1" ht="12.75">
      <c r="A265" s="72"/>
      <c r="B265" s="491"/>
      <c r="C265" s="491"/>
      <c r="D265" s="75"/>
      <c r="E265" s="76"/>
      <c r="F265" s="76"/>
    </row>
    <row r="266" spans="1:6" s="480" customFormat="1" ht="12.75">
      <c r="A266" s="72"/>
      <c r="B266" s="491"/>
      <c r="C266" s="491"/>
      <c r="D266" s="75"/>
      <c r="E266" s="76"/>
      <c r="F266" s="76"/>
    </row>
    <row r="267" spans="1:6" s="480" customFormat="1" ht="12.75">
      <c r="A267" s="72"/>
      <c r="B267" s="491"/>
      <c r="C267" s="491"/>
      <c r="D267" s="75"/>
      <c r="E267" s="76"/>
      <c r="F267" s="76"/>
    </row>
    <row r="268" spans="1:6" s="480" customFormat="1" ht="12.75">
      <c r="A268" s="72"/>
      <c r="B268" s="491"/>
      <c r="C268" s="491"/>
      <c r="D268" s="75"/>
      <c r="E268" s="76"/>
      <c r="F268" s="76"/>
    </row>
  </sheetData>
  <sheetProtection selectLockedCells="1" selectUnlockedCells="1"/>
  <mergeCells count="8">
    <mergeCell ref="F1:G1"/>
    <mergeCell ref="F2:G2"/>
    <mergeCell ref="F3:G3"/>
    <mergeCell ref="F4:G4"/>
    <mergeCell ref="D234:D251"/>
    <mergeCell ref="E234:E251"/>
    <mergeCell ref="F234:F251"/>
    <mergeCell ref="G234:G251"/>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G100"/>
  <sheetViews>
    <sheetView showGridLines="0" view="pageBreakPreview" zoomScaleSheetLayoutView="100" zoomScalePageLayoutView="130" workbookViewId="0" topLeftCell="A18">
      <selection activeCell="B34" sqref="B34"/>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16384" width="8.8515625" style="80" customWidth="1"/>
  </cols>
  <sheetData>
    <row r="1" spans="1:7" ht="60" customHeight="1">
      <c r="A1" s="514"/>
      <c r="B1" s="515" t="s">
        <v>16</v>
      </c>
      <c r="C1" s="516" t="s">
        <v>1</v>
      </c>
      <c r="D1" s="516"/>
      <c r="E1" s="517"/>
      <c r="F1" s="1419" t="s">
        <v>2</v>
      </c>
      <c r="G1" s="1420"/>
    </row>
    <row r="2" spans="1:7" ht="54.5" customHeight="1">
      <c r="A2" s="518"/>
      <c r="B2" s="87" t="s">
        <v>3</v>
      </c>
      <c r="C2" s="6" t="s">
        <v>2172</v>
      </c>
      <c r="D2" s="6"/>
      <c r="E2" s="89"/>
      <c r="F2" s="1416"/>
      <c r="G2" s="1421"/>
    </row>
    <row r="3" spans="1:7" ht="50" customHeight="1">
      <c r="A3" s="518"/>
      <c r="B3" s="87" t="s">
        <v>17</v>
      </c>
      <c r="C3" s="8" t="s">
        <v>725</v>
      </c>
      <c r="D3" s="89"/>
      <c r="E3" s="89"/>
      <c r="F3" s="1422" t="s">
        <v>548</v>
      </c>
      <c r="G3" s="1423"/>
    </row>
    <row r="4" spans="1:7" ht="60.75" customHeight="1" thickBot="1">
      <c r="A4" s="519"/>
      <c r="B4" s="92" t="s">
        <v>19</v>
      </c>
      <c r="C4" s="11" t="s">
        <v>547</v>
      </c>
      <c r="D4" s="94"/>
      <c r="E4" s="94"/>
      <c r="F4" s="1418"/>
      <c r="G4" s="1424"/>
    </row>
    <row r="5" spans="1:7" ht="15" customHeight="1" thickBot="1">
      <c r="A5" s="520"/>
      <c r="B5" s="96"/>
      <c r="C5" s="97"/>
      <c r="D5" s="98"/>
      <c r="E5" s="99"/>
      <c r="F5" s="100"/>
      <c r="G5" s="521"/>
    </row>
    <row r="6" spans="1:7" s="109" customFormat="1" ht="11">
      <c r="A6" s="522" t="s">
        <v>20</v>
      </c>
      <c r="B6" s="20" t="s">
        <v>21</v>
      </c>
      <c r="C6" s="102" t="s">
        <v>22</v>
      </c>
      <c r="D6" s="20" t="s">
        <v>23</v>
      </c>
      <c r="E6" s="103" t="s">
        <v>24</v>
      </c>
      <c r="F6" s="104" t="s">
        <v>25</v>
      </c>
      <c r="G6" s="523" t="s">
        <v>26</v>
      </c>
    </row>
    <row r="7" spans="1:7" s="109" customFormat="1" ht="5.25" customHeight="1" thickBot="1">
      <c r="A7" s="524"/>
      <c r="B7" s="111"/>
      <c r="C7" s="112"/>
      <c r="D7" s="111"/>
      <c r="E7" s="113"/>
      <c r="F7" s="114"/>
      <c r="G7" s="525"/>
    </row>
    <row r="8" spans="1:7" s="125" customFormat="1" ht="12.75">
      <c r="A8" s="526"/>
      <c r="B8" s="117"/>
      <c r="C8" s="118"/>
      <c r="D8" s="118"/>
      <c r="E8" s="119"/>
      <c r="F8" s="120"/>
      <c r="G8" s="527"/>
    </row>
    <row r="9" spans="1:7" s="133" customFormat="1" ht="12.75">
      <c r="A9" s="528"/>
      <c r="B9" s="127"/>
      <c r="C9" s="128" t="s">
        <v>27</v>
      </c>
      <c r="D9" s="127"/>
      <c r="E9" s="129"/>
      <c r="F9" s="130"/>
      <c r="G9" s="529"/>
    </row>
    <row r="10" spans="1:7" ht="56.25" customHeight="1" hidden="1">
      <c r="A10" s="530"/>
      <c r="B10" s="135"/>
      <c r="C10" s="136" t="s">
        <v>28</v>
      </c>
      <c r="D10" s="135"/>
      <c r="E10" s="137"/>
      <c r="F10" s="138"/>
      <c r="G10" s="531"/>
    </row>
    <row r="11" spans="1:7" ht="35.25" customHeight="1" hidden="1">
      <c r="A11" s="530"/>
      <c r="B11" s="135"/>
      <c r="C11" s="136" t="s">
        <v>29</v>
      </c>
      <c r="D11" s="135"/>
      <c r="E11" s="137"/>
      <c r="F11" s="138"/>
      <c r="G11" s="531"/>
    </row>
    <row r="12" spans="1:7" ht="30.75" customHeight="1" hidden="1">
      <c r="A12" s="530"/>
      <c r="B12" s="135"/>
      <c r="C12" s="136" t="s">
        <v>30</v>
      </c>
      <c r="D12" s="135"/>
      <c r="E12" s="137"/>
      <c r="F12" s="138"/>
      <c r="G12" s="531"/>
    </row>
    <row r="13" spans="1:7" ht="66" customHeight="1" hidden="1">
      <c r="A13" s="532"/>
      <c r="B13" s="141"/>
      <c r="C13" s="485" t="s">
        <v>31</v>
      </c>
      <c r="D13" s="141"/>
      <c r="E13" s="142"/>
      <c r="F13" s="143"/>
      <c r="G13" s="533"/>
    </row>
    <row r="14" spans="1:7" ht="63" customHeight="1" hidden="1">
      <c r="A14" s="534"/>
      <c r="B14" s="146"/>
      <c r="C14" s="486" t="s">
        <v>32</v>
      </c>
      <c r="D14" s="146"/>
      <c r="E14" s="147"/>
      <c r="F14" s="148"/>
      <c r="G14" s="535"/>
    </row>
    <row r="15" spans="1:7" ht="29.25" customHeight="1" hidden="1">
      <c r="A15" s="530"/>
      <c r="B15" s="135"/>
      <c r="C15" s="150" t="s">
        <v>33</v>
      </c>
      <c r="D15" s="135"/>
      <c r="E15" s="137"/>
      <c r="F15" s="138"/>
      <c r="G15" s="531"/>
    </row>
    <row r="16" spans="1:7" ht="36.75" customHeight="1" hidden="1">
      <c r="A16" s="530"/>
      <c r="B16" s="135"/>
      <c r="C16" s="150" t="s">
        <v>34</v>
      </c>
      <c r="D16" s="135"/>
      <c r="E16" s="137"/>
      <c r="F16" s="138"/>
      <c r="G16" s="531"/>
    </row>
    <row r="17" spans="1:7" ht="43.5" customHeight="1" hidden="1">
      <c r="A17" s="530"/>
      <c r="B17" s="135"/>
      <c r="C17" s="150" t="s">
        <v>35</v>
      </c>
      <c r="D17" s="135"/>
      <c r="E17" s="137"/>
      <c r="F17" s="138"/>
      <c r="G17" s="531"/>
    </row>
    <row r="18" spans="1:7" s="133" customFormat="1" ht="12.75">
      <c r="A18" s="528"/>
      <c r="B18" s="127"/>
      <c r="C18" s="151"/>
      <c r="D18" s="127"/>
      <c r="E18" s="129"/>
      <c r="F18" s="130"/>
      <c r="G18" s="529"/>
    </row>
    <row r="19" spans="1:7" s="125" customFormat="1" ht="33" customHeight="1">
      <c r="A19" s="536"/>
      <c r="B19" s="153"/>
      <c r="C19" s="154" t="s">
        <v>36</v>
      </c>
      <c r="D19" s="153"/>
      <c r="E19" s="155"/>
      <c r="F19" s="156"/>
      <c r="G19" s="537"/>
    </row>
    <row r="20" spans="1:7" s="125" customFormat="1" ht="22">
      <c r="A20" s="536"/>
      <c r="B20" s="153"/>
      <c r="C20" s="158" t="s">
        <v>37</v>
      </c>
      <c r="D20" s="153"/>
      <c r="E20" s="155"/>
      <c r="F20" s="156"/>
      <c r="G20" s="538"/>
    </row>
    <row r="21" spans="1:7" s="125" customFormat="1" ht="17.75" customHeight="1">
      <c r="A21" s="539" t="str">
        <f>A28</f>
        <v>1</v>
      </c>
      <c r="B21" s="161"/>
      <c r="C21" s="162" t="str">
        <f>C28</f>
        <v>Kabely a trubky</v>
      </c>
      <c r="D21" s="164"/>
      <c r="E21" s="164"/>
      <c r="F21" s="165"/>
      <c r="G21" s="540">
        <f>G38</f>
        <v>0</v>
      </c>
    </row>
    <row r="22" spans="1:7" s="125" customFormat="1" ht="17.75" customHeight="1">
      <c r="A22" s="539" t="str">
        <f>A40</f>
        <v>2</v>
      </c>
      <c r="B22" s="161"/>
      <c r="C22" s="162" t="str">
        <f>C40</f>
        <v>Instalační materiál</v>
      </c>
      <c r="D22" s="164"/>
      <c r="E22" s="164"/>
      <c r="F22" s="165"/>
      <c r="G22" s="540">
        <f>G61</f>
        <v>0</v>
      </c>
    </row>
    <row r="23" spans="1:7" s="125" customFormat="1" ht="17.75" customHeight="1">
      <c r="A23" s="539" t="str">
        <f>A63</f>
        <v>3</v>
      </c>
      <c r="B23" s="161"/>
      <c r="C23" s="162" t="str">
        <f>C63</f>
        <v>Ostatní práce a dodávky</v>
      </c>
      <c r="D23" s="164"/>
      <c r="E23" s="164"/>
      <c r="F23" s="165"/>
      <c r="G23" s="540">
        <f>G85</f>
        <v>0</v>
      </c>
    </row>
    <row r="24" spans="1:7" ht="18" customHeight="1">
      <c r="A24" s="539" t="str">
        <f>A87</f>
        <v>A</v>
      </c>
      <c r="B24" s="161"/>
      <c r="C24" s="162" t="str">
        <f>C87</f>
        <v xml:space="preserve">Ostatní </v>
      </c>
      <c r="D24" s="164"/>
      <c r="E24" s="164"/>
      <c r="F24" s="165"/>
      <c r="G24" s="540">
        <f>G91</f>
        <v>0</v>
      </c>
    </row>
    <row r="25" spans="1:7" ht="13" thickBot="1">
      <c r="A25" s="539"/>
      <c r="B25" s="153"/>
      <c r="C25" s="167"/>
      <c r="D25" s="153"/>
      <c r="E25" s="168"/>
      <c r="F25" s="156"/>
      <c r="G25" s="540"/>
    </row>
    <row r="26" spans="1:7" ht="28.5" customHeight="1" thickBot="1">
      <c r="A26" s="541"/>
      <c r="B26" s="171"/>
      <c r="C26" s="172" t="s">
        <v>38</v>
      </c>
      <c r="D26" s="175"/>
      <c r="E26" s="174"/>
      <c r="F26" s="175"/>
      <c r="G26" s="542">
        <f>SUM(G21:G24)</f>
        <v>0</v>
      </c>
    </row>
    <row r="27" spans="1:7" ht="13" thickBot="1">
      <c r="A27" s="543"/>
      <c r="B27" s="180"/>
      <c r="C27" s="180"/>
      <c r="D27" s="180"/>
      <c r="E27" s="180"/>
      <c r="F27" s="180"/>
      <c r="G27" s="544"/>
    </row>
    <row r="28" spans="1:7" s="125" customFormat="1" ht="18" customHeight="1" thickBot="1">
      <c r="A28" s="545" t="s">
        <v>43</v>
      </c>
      <c r="B28" s="183"/>
      <c r="C28" s="184" t="s">
        <v>348</v>
      </c>
      <c r="D28" s="397"/>
      <c r="E28" s="398"/>
      <c r="F28" s="187"/>
      <c r="G28" s="546"/>
    </row>
    <row r="29" spans="1:7" s="125" customFormat="1" ht="12.75" customHeight="1">
      <c r="A29" s="547"/>
      <c r="B29" s="400"/>
      <c r="C29" s="232"/>
      <c r="D29" s="233"/>
      <c r="E29" s="401"/>
      <c r="F29" s="402"/>
      <c r="G29" s="548"/>
    </row>
    <row r="30" spans="1:7" s="499" customFormat="1" ht="13">
      <c r="A30" s="549" t="s">
        <v>45</v>
      </c>
      <c r="B30" s="494"/>
      <c r="C30" s="500" t="s">
        <v>549</v>
      </c>
      <c r="D30" s="496" t="s">
        <v>116</v>
      </c>
      <c r="E30" s="497">
        <v>80</v>
      </c>
      <c r="F30" s="498"/>
      <c r="G30" s="550">
        <f>$E30*F30</f>
        <v>0</v>
      </c>
    </row>
    <row r="31" spans="1:7" s="499" customFormat="1" ht="13">
      <c r="A31" s="549" t="s">
        <v>47</v>
      </c>
      <c r="B31" s="494"/>
      <c r="C31" s="907" t="s">
        <v>550</v>
      </c>
      <c r="D31" s="496" t="s">
        <v>158</v>
      </c>
      <c r="E31" s="497">
        <v>1</v>
      </c>
      <c r="F31" s="498"/>
      <c r="G31" s="550">
        <f aca="true" t="shared" si="0" ref="G31:G36">$E31*F31</f>
        <v>0</v>
      </c>
    </row>
    <row r="32" spans="1:7" s="499" customFormat="1" ht="13">
      <c r="A32" s="549" t="s">
        <v>50</v>
      </c>
      <c r="B32" s="494"/>
      <c r="C32" s="907" t="s">
        <v>551</v>
      </c>
      <c r="D32" s="496" t="s">
        <v>116</v>
      </c>
      <c r="E32" s="1387">
        <v>450</v>
      </c>
      <c r="F32" s="498"/>
      <c r="G32" s="550">
        <f t="shared" si="0"/>
        <v>0</v>
      </c>
    </row>
    <row r="33" spans="1:7" s="499" customFormat="1" ht="13">
      <c r="A33" s="549" t="s">
        <v>53</v>
      </c>
      <c r="B33" s="494"/>
      <c r="C33" s="907" t="s">
        <v>911</v>
      </c>
      <c r="D33" s="496" t="s">
        <v>116</v>
      </c>
      <c r="E33" s="497">
        <v>200</v>
      </c>
      <c r="F33" s="498"/>
      <c r="G33" s="550">
        <f t="shared" si="0"/>
        <v>0</v>
      </c>
    </row>
    <row r="34" spans="1:7" s="499" customFormat="1" ht="13">
      <c r="A34" s="1439" t="s">
        <v>56</v>
      </c>
      <c r="B34" s="1385"/>
      <c r="C34" s="1385" t="s">
        <v>2475</v>
      </c>
      <c r="D34" s="1386" t="s">
        <v>116</v>
      </c>
      <c r="E34" s="1387">
        <v>500</v>
      </c>
      <c r="F34" s="498"/>
      <c r="G34" s="550">
        <f t="shared" si="0"/>
        <v>0</v>
      </c>
    </row>
    <row r="35" spans="1:7" s="499" customFormat="1" ht="13">
      <c r="A35" s="549" t="s">
        <v>58</v>
      </c>
      <c r="B35" s="494"/>
      <c r="C35" s="656" t="s">
        <v>552</v>
      </c>
      <c r="D35" s="496" t="s">
        <v>116</v>
      </c>
      <c r="E35" s="497">
        <v>420</v>
      </c>
      <c r="F35" s="498"/>
      <c r="G35" s="550">
        <f t="shared" si="0"/>
        <v>0</v>
      </c>
    </row>
    <row r="36" spans="1:7" s="499" customFormat="1" ht="13">
      <c r="A36" s="549" t="s">
        <v>61</v>
      </c>
      <c r="B36" s="494"/>
      <c r="C36" s="908" t="s">
        <v>553</v>
      </c>
      <c r="D36" s="496" t="s">
        <v>116</v>
      </c>
      <c r="E36" s="497">
        <v>110</v>
      </c>
      <c r="F36" s="498"/>
      <c r="G36" s="550">
        <f t="shared" si="0"/>
        <v>0</v>
      </c>
    </row>
    <row r="37" spans="1:7" ht="14" thickBot="1">
      <c r="A37" s="551"/>
      <c r="B37" s="412"/>
      <c r="C37" s="220"/>
      <c r="D37" s="221"/>
      <c r="E37" s="413"/>
      <c r="F37" s="414"/>
      <c r="G37" s="552"/>
    </row>
    <row r="38" spans="1:7" ht="19.5" customHeight="1" thickBot="1">
      <c r="A38" s="553"/>
      <c r="B38" s="226"/>
      <c r="C38" s="227" t="s">
        <v>113</v>
      </c>
      <c r="D38" s="226"/>
      <c r="E38" s="416"/>
      <c r="F38" s="417"/>
      <c r="G38" s="554">
        <f>SUBTOTAL(9,G29:G37)</f>
        <v>0</v>
      </c>
    </row>
    <row r="39" spans="1:7" ht="13" thickBot="1">
      <c r="A39" s="543"/>
      <c r="B39" s="180"/>
      <c r="C39" s="180"/>
      <c r="D39" s="180"/>
      <c r="E39" s="180"/>
      <c r="F39" s="180"/>
      <c r="G39" s="544"/>
    </row>
    <row r="40" spans="1:7" ht="17.25" customHeight="1" thickBot="1">
      <c r="A40" s="545" t="s">
        <v>100</v>
      </c>
      <c r="B40" s="183"/>
      <c r="C40" s="184" t="s">
        <v>352</v>
      </c>
      <c r="D40" s="397"/>
      <c r="E40" s="398"/>
      <c r="F40" s="187"/>
      <c r="G40" s="546"/>
    </row>
    <row r="41" spans="1:7" ht="12.75">
      <c r="A41" s="547"/>
      <c r="B41" s="400"/>
      <c r="C41" s="232"/>
      <c r="D41" s="233"/>
      <c r="E41" s="401"/>
      <c r="F41" s="402"/>
      <c r="G41" s="548"/>
    </row>
    <row r="42" spans="1:7" s="505" customFormat="1" ht="12.75">
      <c r="A42" s="549" t="s">
        <v>115</v>
      </c>
      <c r="B42" s="501"/>
      <c r="C42" s="502" t="s">
        <v>554</v>
      </c>
      <c r="D42" s="503" t="s">
        <v>158</v>
      </c>
      <c r="E42" s="504">
        <v>4</v>
      </c>
      <c r="F42" s="504"/>
      <c r="G42" s="550">
        <f>$E42*F42</f>
        <v>0</v>
      </c>
    </row>
    <row r="43" spans="1:7" s="505" customFormat="1" ht="12.75">
      <c r="A43" s="549" t="s">
        <v>117</v>
      </c>
      <c r="B43" s="501"/>
      <c r="C43" s="502" t="s">
        <v>555</v>
      </c>
      <c r="D43" s="503" t="s">
        <v>158</v>
      </c>
      <c r="E43" s="504">
        <v>9</v>
      </c>
      <c r="F43" s="504"/>
      <c r="G43" s="550">
        <f aca="true" t="shared" si="1" ref="G43:G59">$E43*F43</f>
        <v>0</v>
      </c>
    </row>
    <row r="44" spans="1:7" s="505" customFormat="1" ht="12.75">
      <c r="A44" s="549" t="s">
        <v>119</v>
      </c>
      <c r="B44" s="501"/>
      <c r="C44" s="502" t="s">
        <v>556</v>
      </c>
      <c r="D44" s="503" t="s">
        <v>158</v>
      </c>
      <c r="E44" s="504">
        <v>6</v>
      </c>
      <c r="F44" s="504"/>
      <c r="G44" s="550">
        <f t="shared" si="1"/>
        <v>0</v>
      </c>
    </row>
    <row r="45" spans="1:7" s="505" customFormat="1" ht="12.75">
      <c r="A45" s="549" t="s">
        <v>299</v>
      </c>
      <c r="B45" s="501"/>
      <c r="C45" s="502" t="s">
        <v>912</v>
      </c>
      <c r="D45" s="503" t="s">
        <v>158</v>
      </c>
      <c r="E45" s="504">
        <v>8</v>
      </c>
      <c r="F45" s="504"/>
      <c r="G45" s="550">
        <f t="shared" si="1"/>
        <v>0</v>
      </c>
    </row>
    <row r="46" spans="1:7" s="505" customFormat="1" ht="12.75">
      <c r="A46" s="549" t="s">
        <v>301</v>
      </c>
      <c r="B46" s="501"/>
      <c r="C46" s="502" t="s">
        <v>448</v>
      </c>
      <c r="D46" s="503" t="s">
        <v>158</v>
      </c>
      <c r="E46" s="504">
        <v>30</v>
      </c>
      <c r="F46" s="504"/>
      <c r="G46" s="550">
        <f t="shared" si="1"/>
        <v>0</v>
      </c>
    </row>
    <row r="47" spans="1:7" s="505" customFormat="1" ht="12.75">
      <c r="A47" s="1400"/>
      <c r="B47" s="1401"/>
      <c r="C47" s="1391" t="s">
        <v>557</v>
      </c>
      <c r="D47" s="1392" t="s">
        <v>158</v>
      </c>
      <c r="E47" s="1393">
        <v>0</v>
      </c>
      <c r="F47" s="1393"/>
      <c r="G47" s="1402">
        <f t="shared" si="1"/>
        <v>0</v>
      </c>
    </row>
    <row r="48" spans="1:7" s="505" customFormat="1" ht="22">
      <c r="A48" s="1407" t="s">
        <v>304</v>
      </c>
      <c r="B48" s="1388"/>
      <c r="C48" s="1388" t="s">
        <v>2480</v>
      </c>
      <c r="D48" s="1389" t="s">
        <v>158</v>
      </c>
      <c r="E48" s="1390">
        <v>1</v>
      </c>
      <c r="F48" s="504"/>
      <c r="G48" s="550">
        <f t="shared" si="1"/>
        <v>0</v>
      </c>
    </row>
    <row r="49" spans="1:7" s="505" customFormat="1" ht="12.75">
      <c r="A49" s="1407" t="s">
        <v>307</v>
      </c>
      <c r="B49" s="1388"/>
      <c r="C49" s="1388" t="s">
        <v>2482</v>
      </c>
      <c r="D49" s="1389" t="s">
        <v>158</v>
      </c>
      <c r="E49" s="1390">
        <v>3</v>
      </c>
      <c r="F49" s="504"/>
      <c r="G49" s="550">
        <f t="shared" si="1"/>
        <v>0</v>
      </c>
    </row>
    <row r="50" spans="1:7" s="505" customFormat="1" ht="12.75">
      <c r="A50" s="1407" t="s">
        <v>310</v>
      </c>
      <c r="B50" s="1388"/>
      <c r="C50" s="1403" t="s">
        <v>2481</v>
      </c>
      <c r="D50" s="1404" t="s">
        <v>158</v>
      </c>
      <c r="E50" s="1405">
        <v>1</v>
      </c>
      <c r="F50" s="1406"/>
      <c r="G50" s="550">
        <f t="shared" si="1"/>
        <v>0</v>
      </c>
    </row>
    <row r="51" spans="1:7" s="505" customFormat="1" ht="55">
      <c r="A51" s="549" t="s">
        <v>311</v>
      </c>
      <c r="B51" s="501"/>
      <c r="C51" s="502" t="s">
        <v>558</v>
      </c>
      <c r="D51" s="503" t="s">
        <v>161</v>
      </c>
      <c r="E51" s="504">
        <v>1</v>
      </c>
      <c r="F51" s="504"/>
      <c r="G51" s="550">
        <f t="shared" si="1"/>
        <v>0</v>
      </c>
    </row>
    <row r="52" spans="1:7" s="505" customFormat="1" ht="33">
      <c r="A52" s="1394" t="s">
        <v>312</v>
      </c>
      <c r="B52" s="1395"/>
      <c r="C52" s="1396" t="s">
        <v>2486</v>
      </c>
      <c r="D52" s="1397" t="s">
        <v>158</v>
      </c>
      <c r="E52" s="1398">
        <v>1</v>
      </c>
      <c r="F52" s="1398"/>
      <c r="G52" s="1399">
        <f t="shared" si="1"/>
        <v>0</v>
      </c>
    </row>
    <row r="53" spans="1:7" s="505" customFormat="1" ht="12.75">
      <c r="A53" s="1394" t="s">
        <v>313</v>
      </c>
      <c r="B53" s="1395"/>
      <c r="C53" s="1396" t="s">
        <v>2479</v>
      </c>
      <c r="D53" s="1397" t="s">
        <v>158</v>
      </c>
      <c r="E53" s="1398">
        <v>2</v>
      </c>
      <c r="F53" s="1398"/>
      <c r="G53" s="1399">
        <f t="shared" si="1"/>
        <v>0</v>
      </c>
    </row>
    <row r="54" spans="1:7" s="505" customFormat="1" ht="12.75">
      <c r="A54" s="1394" t="s">
        <v>314</v>
      </c>
      <c r="B54" s="1395"/>
      <c r="C54" s="1396" t="s">
        <v>2476</v>
      </c>
      <c r="D54" s="1397" t="s">
        <v>158</v>
      </c>
      <c r="E54" s="1398">
        <v>10</v>
      </c>
      <c r="F54" s="1398"/>
      <c r="G54" s="1399">
        <f t="shared" si="1"/>
        <v>0</v>
      </c>
    </row>
    <row r="55" spans="1:7" s="505" customFormat="1" ht="12.75">
      <c r="A55" s="1394" t="s">
        <v>315</v>
      </c>
      <c r="B55" s="1395"/>
      <c r="C55" s="1396" t="s">
        <v>2483</v>
      </c>
      <c r="D55" s="1397" t="s">
        <v>158</v>
      </c>
      <c r="E55" s="1398">
        <v>13</v>
      </c>
      <c r="F55" s="1398"/>
      <c r="G55" s="1399">
        <f t="shared" si="1"/>
        <v>0</v>
      </c>
    </row>
    <row r="56" spans="1:7" s="505" customFormat="1" ht="12.75">
      <c r="A56" s="1394" t="s">
        <v>316</v>
      </c>
      <c r="B56" s="1395"/>
      <c r="C56" s="1396" t="s">
        <v>2484</v>
      </c>
      <c r="D56" s="1397" t="s">
        <v>158</v>
      </c>
      <c r="E56" s="1398">
        <v>25</v>
      </c>
      <c r="F56" s="1398"/>
      <c r="G56" s="1399">
        <f t="shared" si="1"/>
        <v>0</v>
      </c>
    </row>
    <row r="57" spans="1:7" s="505" customFormat="1" ht="12.75">
      <c r="A57" s="1394" t="s">
        <v>317</v>
      </c>
      <c r="B57" s="1395"/>
      <c r="C57" s="1396" t="s">
        <v>2477</v>
      </c>
      <c r="D57" s="1397" t="s">
        <v>158</v>
      </c>
      <c r="E57" s="1398">
        <v>4</v>
      </c>
      <c r="F57" s="1398"/>
      <c r="G57" s="1399">
        <f t="shared" si="1"/>
        <v>0</v>
      </c>
    </row>
    <row r="58" spans="1:7" s="505" customFormat="1" ht="12.75">
      <c r="A58" s="1394" t="s">
        <v>318</v>
      </c>
      <c r="B58" s="1395"/>
      <c r="C58" s="1396" t="s">
        <v>2478</v>
      </c>
      <c r="D58" s="1397" t="s">
        <v>158</v>
      </c>
      <c r="E58" s="1398">
        <v>2</v>
      </c>
      <c r="F58" s="1398"/>
      <c r="G58" s="1399">
        <f t="shared" si="1"/>
        <v>0</v>
      </c>
    </row>
    <row r="59" spans="1:7" s="505" customFormat="1" ht="12.75">
      <c r="A59" s="1394" t="s">
        <v>401</v>
      </c>
      <c r="B59" s="1395"/>
      <c r="C59" s="1396" t="s">
        <v>2485</v>
      </c>
      <c r="D59" s="1397" t="s">
        <v>158</v>
      </c>
      <c r="E59" s="1398">
        <v>45</v>
      </c>
      <c r="F59" s="1398"/>
      <c r="G59" s="1399">
        <f t="shared" si="1"/>
        <v>0</v>
      </c>
    </row>
    <row r="60" spans="1:7" ht="14" thickBot="1">
      <c r="A60" s="551"/>
      <c r="B60" s="412"/>
      <c r="C60" s="220"/>
      <c r="D60" s="221"/>
      <c r="E60" s="413"/>
      <c r="F60" s="414"/>
      <c r="G60" s="552"/>
    </row>
    <row r="61" spans="1:7" ht="13" thickBot="1">
      <c r="A61" s="553"/>
      <c r="B61" s="226"/>
      <c r="C61" s="227" t="s">
        <v>113</v>
      </c>
      <c r="D61" s="226"/>
      <c r="E61" s="416"/>
      <c r="F61" s="417"/>
      <c r="G61" s="554">
        <f>SUBTOTAL(9,G41:G60)</f>
        <v>0</v>
      </c>
    </row>
    <row r="62" spans="1:7" ht="13" thickBot="1">
      <c r="A62" s="543"/>
      <c r="B62" s="180"/>
      <c r="C62" s="180"/>
      <c r="D62" s="180"/>
      <c r="E62" s="180"/>
      <c r="F62" s="180"/>
      <c r="G62" s="544"/>
    </row>
    <row r="63" spans="1:7" ht="17.25" customHeight="1" thickBot="1">
      <c r="A63" s="545" t="s">
        <v>121</v>
      </c>
      <c r="B63" s="183"/>
      <c r="C63" s="184" t="s">
        <v>344</v>
      </c>
      <c r="D63" s="397"/>
      <c r="E63" s="398"/>
      <c r="F63" s="187"/>
      <c r="G63" s="546"/>
    </row>
    <row r="64" spans="1:7" ht="12.75">
      <c r="A64" s="547"/>
      <c r="B64" s="400"/>
      <c r="C64" s="232"/>
      <c r="D64" s="233"/>
      <c r="E64" s="401"/>
      <c r="F64" s="402"/>
      <c r="G64" s="548"/>
    </row>
    <row r="65" spans="1:7" s="505" customFormat="1" ht="12.75">
      <c r="A65" s="549" t="s">
        <v>123</v>
      </c>
      <c r="B65" s="501"/>
      <c r="C65" s="502" t="s">
        <v>561</v>
      </c>
      <c r="D65" s="1430" t="s">
        <v>161</v>
      </c>
      <c r="E65" s="1433">
        <v>1</v>
      </c>
      <c r="F65" s="1433"/>
      <c r="G65" s="1436">
        <f>E65*F65</f>
        <v>0</v>
      </c>
    </row>
    <row r="66" spans="1:7" s="505" customFormat="1" ht="12.75">
      <c r="A66" s="549" t="s">
        <v>124</v>
      </c>
      <c r="B66" s="501"/>
      <c r="C66" s="502" t="s">
        <v>369</v>
      </c>
      <c r="D66" s="1431"/>
      <c r="E66" s="1434"/>
      <c r="F66" s="1434"/>
      <c r="G66" s="1437"/>
    </row>
    <row r="67" spans="1:7" s="505" customFormat="1" ht="12.75">
      <c r="A67" s="549" t="s">
        <v>125</v>
      </c>
      <c r="B67" s="501"/>
      <c r="C67" s="502" t="s">
        <v>370</v>
      </c>
      <c r="D67" s="1431"/>
      <c r="E67" s="1434"/>
      <c r="F67" s="1434"/>
      <c r="G67" s="1437"/>
    </row>
    <row r="68" spans="1:7" s="505" customFormat="1" ht="12.75">
      <c r="A68" s="549" t="s">
        <v>126</v>
      </c>
      <c r="B68" s="501"/>
      <c r="C68" s="502" t="s">
        <v>371</v>
      </c>
      <c r="D68" s="1431"/>
      <c r="E68" s="1434"/>
      <c r="F68" s="1434"/>
      <c r="G68" s="1437"/>
    </row>
    <row r="69" spans="1:7" s="505" customFormat="1" ht="12.75">
      <c r="A69" s="549" t="s">
        <v>127</v>
      </c>
      <c r="B69" s="501"/>
      <c r="C69" s="502" t="s">
        <v>533</v>
      </c>
      <c r="D69" s="1431"/>
      <c r="E69" s="1434"/>
      <c r="F69" s="1434"/>
      <c r="G69" s="1437"/>
    </row>
    <row r="70" spans="1:7" s="505" customFormat="1" ht="12.75">
      <c r="A70" s="549" t="s">
        <v>128</v>
      </c>
      <c r="B70" s="501"/>
      <c r="C70" s="502" t="s">
        <v>559</v>
      </c>
      <c r="D70" s="1431"/>
      <c r="E70" s="1434"/>
      <c r="F70" s="1434"/>
      <c r="G70" s="1437"/>
    </row>
    <row r="71" spans="1:7" s="505" customFormat="1" ht="12.75">
      <c r="A71" s="549" t="s">
        <v>129</v>
      </c>
      <c r="B71" s="501"/>
      <c r="C71" s="502" t="s">
        <v>560</v>
      </c>
      <c r="D71" s="1431"/>
      <c r="E71" s="1434"/>
      <c r="F71" s="1434"/>
      <c r="G71" s="1437"/>
    </row>
    <row r="72" spans="1:7" s="505" customFormat="1" ht="12.75">
      <c r="A72" s="549" t="s">
        <v>130</v>
      </c>
      <c r="B72" s="501"/>
      <c r="C72" s="502" t="s">
        <v>372</v>
      </c>
      <c r="D72" s="1431"/>
      <c r="E72" s="1434"/>
      <c r="F72" s="1434"/>
      <c r="G72" s="1437"/>
    </row>
    <row r="73" spans="1:7" s="505" customFormat="1" ht="12.75">
      <c r="A73" s="549" t="s">
        <v>131</v>
      </c>
      <c r="B73" s="501"/>
      <c r="C73" s="502" t="s">
        <v>375</v>
      </c>
      <c r="D73" s="1431"/>
      <c r="E73" s="1434"/>
      <c r="F73" s="1434"/>
      <c r="G73" s="1437"/>
    </row>
    <row r="74" spans="1:7" s="505" customFormat="1" ht="12.75">
      <c r="A74" s="549" t="s">
        <v>133</v>
      </c>
      <c r="B74" s="501"/>
      <c r="C74" s="502" t="s">
        <v>377</v>
      </c>
      <c r="D74" s="1431"/>
      <c r="E74" s="1434"/>
      <c r="F74" s="1434"/>
      <c r="G74" s="1437"/>
    </row>
    <row r="75" spans="1:7" s="505" customFormat="1" ht="12.75">
      <c r="A75" s="549" t="s">
        <v>136</v>
      </c>
      <c r="B75" s="501"/>
      <c r="C75" s="502" t="s">
        <v>379</v>
      </c>
      <c r="D75" s="1431"/>
      <c r="E75" s="1434"/>
      <c r="F75" s="1434"/>
      <c r="G75" s="1437"/>
    </row>
    <row r="76" spans="1:7" s="505" customFormat="1" ht="12.75">
      <c r="A76" s="549" t="s">
        <v>137</v>
      </c>
      <c r="B76" s="501"/>
      <c r="C76" s="502" t="s">
        <v>381</v>
      </c>
      <c r="D76" s="1431"/>
      <c r="E76" s="1434"/>
      <c r="F76" s="1434"/>
      <c r="G76" s="1437"/>
    </row>
    <row r="77" spans="1:7" s="505" customFormat="1" ht="12.75">
      <c r="A77" s="549" t="s">
        <v>138</v>
      </c>
      <c r="B77" s="501"/>
      <c r="C77" s="502" t="s">
        <v>913</v>
      </c>
      <c r="D77" s="1431"/>
      <c r="E77" s="1434"/>
      <c r="F77" s="1434"/>
      <c r="G77" s="1437"/>
    </row>
    <row r="78" spans="1:7" s="505" customFormat="1" ht="12.75">
      <c r="A78" s="549" t="s">
        <v>140</v>
      </c>
      <c r="B78" s="501"/>
      <c r="C78" s="502" t="s">
        <v>383</v>
      </c>
      <c r="D78" s="1431"/>
      <c r="E78" s="1434"/>
      <c r="F78" s="1434"/>
      <c r="G78" s="1437"/>
    </row>
    <row r="79" spans="1:7" s="505" customFormat="1" ht="12.75">
      <c r="A79" s="549" t="s">
        <v>141</v>
      </c>
      <c r="B79" s="501"/>
      <c r="C79" s="502" t="s">
        <v>384</v>
      </c>
      <c r="D79" s="1431"/>
      <c r="E79" s="1434"/>
      <c r="F79" s="1434"/>
      <c r="G79" s="1437"/>
    </row>
    <row r="80" spans="1:7" s="505" customFormat="1" ht="12.75">
      <c r="A80" s="549" t="s">
        <v>143</v>
      </c>
      <c r="B80" s="501"/>
      <c r="C80" s="502" t="s">
        <v>385</v>
      </c>
      <c r="D80" s="1431"/>
      <c r="E80" s="1434"/>
      <c r="F80" s="1434"/>
      <c r="G80" s="1437"/>
    </row>
    <row r="81" spans="1:7" s="505" customFormat="1" ht="12.75">
      <c r="A81" s="549" t="s">
        <v>145</v>
      </c>
      <c r="B81" s="501"/>
      <c r="C81" s="502" t="s">
        <v>386</v>
      </c>
      <c r="D81" s="1431"/>
      <c r="E81" s="1434"/>
      <c r="F81" s="1434"/>
      <c r="G81" s="1437"/>
    </row>
    <row r="82" spans="1:7" s="505" customFormat="1" ht="12.75">
      <c r="A82" s="549" t="s">
        <v>147</v>
      </c>
      <c r="B82" s="501"/>
      <c r="C82" s="502" t="s">
        <v>387</v>
      </c>
      <c r="D82" s="1431"/>
      <c r="E82" s="1434"/>
      <c r="F82" s="1434"/>
      <c r="G82" s="1437"/>
    </row>
    <row r="83" spans="1:7" s="505" customFormat="1" ht="12.75">
      <c r="A83" s="549" t="s">
        <v>149</v>
      </c>
      <c r="B83" s="501"/>
      <c r="C83" s="502" t="s">
        <v>388</v>
      </c>
      <c r="D83" s="1432"/>
      <c r="E83" s="1435"/>
      <c r="F83" s="1435"/>
      <c r="G83" s="1438"/>
    </row>
    <row r="84" spans="1:7" s="204" customFormat="1" ht="14" thickBot="1">
      <c r="A84" s="557"/>
      <c r="B84" s="412"/>
      <c r="C84" s="220"/>
      <c r="D84" s="221"/>
      <c r="E84" s="414"/>
      <c r="F84" s="414"/>
      <c r="G84" s="558"/>
    </row>
    <row r="85" spans="1:7" ht="13" thickBot="1">
      <c r="A85" s="553"/>
      <c r="B85" s="226"/>
      <c r="C85" s="227" t="s">
        <v>113</v>
      </c>
      <c r="D85" s="226"/>
      <c r="E85" s="416"/>
      <c r="F85" s="417"/>
      <c r="G85" s="554">
        <f>SUBTOTAL(9,G64:G84)</f>
        <v>0</v>
      </c>
    </row>
    <row r="86" spans="1:7" ht="13" thickBot="1">
      <c r="A86" s="543"/>
      <c r="B86" s="180"/>
      <c r="C86" s="180"/>
      <c r="D86" s="180"/>
      <c r="E86" s="180"/>
      <c r="F86" s="180"/>
      <c r="G86" s="544"/>
    </row>
    <row r="87" spans="1:7" ht="13" thickBot="1">
      <c r="A87" s="545" t="s">
        <v>291</v>
      </c>
      <c r="B87" s="183"/>
      <c r="C87" s="184" t="s">
        <v>338</v>
      </c>
      <c r="D87" s="397"/>
      <c r="E87" s="440"/>
      <c r="F87" s="441"/>
      <c r="G87" s="546"/>
    </row>
    <row r="88" spans="1:7" ht="12.75">
      <c r="A88" s="547"/>
      <c r="B88" s="400"/>
      <c r="C88" s="232"/>
      <c r="D88" s="233"/>
      <c r="E88" s="401"/>
      <c r="F88" s="402"/>
      <c r="G88" s="548"/>
    </row>
    <row r="89" spans="1:7" ht="50.25" customHeight="1">
      <c r="A89" s="561" t="s">
        <v>389</v>
      </c>
      <c r="B89" s="489"/>
      <c r="C89" s="492" t="s">
        <v>247</v>
      </c>
      <c r="D89" s="489"/>
      <c r="E89" s="493"/>
      <c r="F89" s="239"/>
      <c r="G89" s="562">
        <f>$E89*F89</f>
        <v>0</v>
      </c>
    </row>
    <row r="90" spans="1:7" ht="13" thickBot="1">
      <c r="A90" s="559"/>
      <c r="B90" s="153"/>
      <c r="C90" s="299"/>
      <c r="D90" s="153"/>
      <c r="E90" s="450"/>
      <c r="F90" s="451"/>
      <c r="G90" s="560"/>
    </row>
    <row r="91" spans="1:7" ht="13" thickBot="1">
      <c r="A91" s="553"/>
      <c r="B91" s="226"/>
      <c r="C91" s="227" t="s">
        <v>113</v>
      </c>
      <c r="D91" s="226"/>
      <c r="E91" s="303"/>
      <c r="F91" s="304"/>
      <c r="G91" s="554">
        <f>SUBTOTAL(9,G88:G90)</f>
        <v>0</v>
      </c>
    </row>
    <row r="92" spans="1:7" ht="13" thickBot="1">
      <c r="A92" s="543"/>
      <c r="B92" s="180"/>
      <c r="C92" s="180"/>
      <c r="D92" s="180"/>
      <c r="E92" s="180"/>
      <c r="F92" s="180"/>
      <c r="G92" s="544"/>
    </row>
    <row r="93" spans="1:7" ht="27.75" customHeight="1" thickBot="1">
      <c r="A93" s="563"/>
      <c r="B93" s="564"/>
      <c r="C93" s="565" t="s">
        <v>38</v>
      </c>
      <c r="D93" s="566"/>
      <c r="E93" s="566"/>
      <c r="F93" s="566"/>
      <c r="G93" s="567">
        <f>SUBTOTAL(9,G27:G91)</f>
        <v>0</v>
      </c>
    </row>
    <row r="95" spans="1:6" s="480" customFormat="1" ht="12.75">
      <c r="A95" s="72"/>
      <c r="B95" s="491"/>
      <c r="C95" s="491"/>
      <c r="D95" s="75"/>
      <c r="E95" s="76"/>
      <c r="F95" s="76"/>
    </row>
    <row r="96" spans="1:6" s="480" customFormat="1" ht="12.75">
      <c r="A96" s="72"/>
      <c r="B96" s="491"/>
      <c r="C96" s="491"/>
      <c r="D96" s="75"/>
      <c r="E96" s="76"/>
      <c r="F96" s="76"/>
    </row>
    <row r="97" spans="1:6" s="480" customFormat="1" ht="12.75">
      <c r="A97" s="72"/>
      <c r="B97" s="491"/>
      <c r="C97" s="491"/>
      <c r="D97" s="75"/>
      <c r="E97" s="76"/>
      <c r="F97" s="76"/>
    </row>
    <row r="98" spans="1:6" s="480" customFormat="1" ht="12.75">
      <c r="A98" s="72"/>
      <c r="B98" s="491"/>
      <c r="C98" s="491"/>
      <c r="D98" s="75"/>
      <c r="E98" s="76"/>
      <c r="F98" s="76"/>
    </row>
    <row r="99" spans="1:6" s="480" customFormat="1" ht="12.75">
      <c r="A99" s="72"/>
      <c r="B99" s="491"/>
      <c r="C99" s="491"/>
      <c r="D99" s="75"/>
      <c r="E99" s="76"/>
      <c r="F99" s="76"/>
    </row>
    <row r="100" spans="1:6" s="480" customFormat="1" ht="12.75">
      <c r="A100" s="72"/>
      <c r="B100" s="491"/>
      <c r="C100" s="491"/>
      <c r="D100" s="75"/>
      <c r="E100" s="76"/>
      <c r="F100" s="76"/>
    </row>
  </sheetData>
  <sheetProtection selectLockedCells="1" selectUnlockedCells="1"/>
  <mergeCells count="8">
    <mergeCell ref="F1:G1"/>
    <mergeCell ref="F2:G2"/>
    <mergeCell ref="F3:G3"/>
    <mergeCell ref="F4:G4"/>
    <mergeCell ref="D65:D83"/>
    <mergeCell ref="E65:E83"/>
    <mergeCell ref="F65:F83"/>
    <mergeCell ref="G65:G83"/>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J274"/>
  <sheetViews>
    <sheetView showGridLines="0" view="pageBreakPreview" zoomScaleSheetLayoutView="100" zoomScalePageLayoutView="130" workbookViewId="0" topLeftCell="A2">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9" width="11.421875" style="77" customWidth="1"/>
    <col min="10" max="10" width="10.8515625" style="77" customWidth="1"/>
    <col min="11" max="11" width="10.28125" style="77" customWidth="1"/>
    <col min="12" max="12" width="10.421875" style="77" customWidth="1"/>
    <col min="13" max="13" width="8.8515625" style="77" customWidth="1"/>
    <col min="14" max="14" width="8.8515625" style="78" customWidth="1"/>
    <col min="15" max="20" width="8.8515625" style="79" customWidth="1"/>
    <col min="21" max="16384" width="8.8515625" style="80" customWidth="1"/>
  </cols>
  <sheetData>
    <row r="1" spans="1:9" ht="60" customHeight="1">
      <c r="A1" s="81"/>
      <c r="B1" s="82" t="s">
        <v>16</v>
      </c>
      <c r="C1" s="2" t="s">
        <v>1</v>
      </c>
      <c r="D1" s="83"/>
      <c r="E1" s="84"/>
      <c r="F1" s="1415" t="s">
        <v>2</v>
      </c>
      <c r="G1" s="1415"/>
      <c r="H1" s="85"/>
      <c r="I1" s="85"/>
    </row>
    <row r="2" spans="1:9" ht="54.5" customHeight="1">
      <c r="A2" s="86"/>
      <c r="B2" s="87" t="s">
        <v>3</v>
      </c>
      <c r="C2" s="6" t="s">
        <v>2172</v>
      </c>
      <c r="D2" s="88"/>
      <c r="E2" s="89"/>
      <c r="F2" s="1416"/>
      <c r="G2" s="1416"/>
      <c r="H2" s="85"/>
      <c r="I2" s="85"/>
    </row>
    <row r="3" spans="1:7" ht="50" customHeight="1">
      <c r="A3" s="86"/>
      <c r="B3" s="87" t="s">
        <v>17</v>
      </c>
      <c r="C3" s="8" t="s">
        <v>18</v>
      </c>
      <c r="D3" s="90"/>
      <c r="E3" s="89"/>
      <c r="F3" s="1417" t="s">
        <v>1647</v>
      </c>
      <c r="G3" s="1417"/>
    </row>
    <row r="4" spans="1:7" ht="60.75" customHeight="1" thickBot="1">
      <c r="A4" s="91"/>
      <c r="B4" s="92" t="s">
        <v>19</v>
      </c>
      <c r="C4" s="11" t="s">
        <v>1160</v>
      </c>
      <c r="D4" s="93"/>
      <c r="E4" s="94"/>
      <c r="F4" s="1417"/>
      <c r="G4" s="1417"/>
    </row>
    <row r="5" spans="1:7" ht="15" customHeight="1" thickBot="1">
      <c r="A5" s="95"/>
      <c r="B5" s="96"/>
      <c r="C5" s="97"/>
      <c r="D5" s="98"/>
      <c r="E5" s="99"/>
      <c r="F5" s="100"/>
      <c r="G5" s="101"/>
    </row>
    <row r="6" spans="1:20" s="109" customFormat="1" ht="11">
      <c r="A6" s="18" t="s">
        <v>20</v>
      </c>
      <c r="B6" s="20" t="s">
        <v>21</v>
      </c>
      <c r="C6" s="102" t="s">
        <v>22</v>
      </c>
      <c r="D6" s="20" t="s">
        <v>23</v>
      </c>
      <c r="E6" s="103" t="s">
        <v>24</v>
      </c>
      <c r="F6" s="104" t="s">
        <v>25</v>
      </c>
      <c r="G6" s="105" t="s">
        <v>26</v>
      </c>
      <c r="H6" s="106"/>
      <c r="I6" s="106"/>
      <c r="J6" s="106"/>
      <c r="K6" s="106"/>
      <c r="L6" s="106"/>
      <c r="M6" s="106"/>
      <c r="N6" s="107"/>
      <c r="O6" s="108"/>
      <c r="P6" s="108"/>
      <c r="Q6" s="108"/>
      <c r="R6" s="108"/>
      <c r="S6" s="108"/>
      <c r="T6" s="108"/>
    </row>
    <row r="7" spans="1:20" s="109" customFormat="1" ht="5.25" customHeight="1" thickBot="1">
      <c r="A7" s="110"/>
      <c r="B7" s="111"/>
      <c r="C7" s="112"/>
      <c r="D7" s="111"/>
      <c r="E7" s="113"/>
      <c r="F7" s="114"/>
      <c r="G7" s="115"/>
      <c r="H7" s="106"/>
      <c r="I7" s="106"/>
      <c r="J7" s="106"/>
      <c r="K7" s="106"/>
      <c r="L7" s="106"/>
      <c r="M7" s="106"/>
      <c r="N7" s="107"/>
      <c r="O7" s="108"/>
      <c r="P7" s="108"/>
      <c r="Q7" s="108"/>
      <c r="R7" s="108"/>
      <c r="S7" s="108"/>
      <c r="T7" s="108"/>
    </row>
    <row r="8" spans="1:20" s="125" customFormat="1" ht="12.75">
      <c r="A8" s="116"/>
      <c r="B8" s="117"/>
      <c r="C8" s="118"/>
      <c r="D8" s="118"/>
      <c r="E8" s="119"/>
      <c r="F8" s="120"/>
      <c r="G8" s="121"/>
      <c r="H8" s="122"/>
      <c r="I8" s="122"/>
      <c r="J8" s="122"/>
      <c r="K8" s="122"/>
      <c r="L8" s="122"/>
      <c r="M8" s="122"/>
      <c r="N8" s="123"/>
      <c r="O8" s="124"/>
      <c r="P8" s="124"/>
      <c r="Q8" s="124"/>
      <c r="R8" s="124"/>
      <c r="S8" s="124"/>
      <c r="T8" s="124"/>
    </row>
    <row r="9" spans="1:20" s="125" customFormat="1" ht="28.5" customHeight="1">
      <c r="A9" s="152"/>
      <c r="B9" s="153"/>
      <c r="C9" s="154" t="s">
        <v>36</v>
      </c>
      <c r="D9" s="153"/>
      <c r="E9" s="155"/>
      <c r="F9" s="156"/>
      <c r="G9" s="157"/>
      <c r="H9" s="122"/>
      <c r="I9" s="122"/>
      <c r="J9" s="122"/>
      <c r="K9" s="122"/>
      <c r="L9" s="122"/>
      <c r="M9" s="122"/>
      <c r="N9" s="123"/>
      <c r="O9" s="124"/>
      <c r="P9" s="124"/>
      <c r="Q9" s="124"/>
      <c r="R9" s="124"/>
      <c r="S9" s="124"/>
      <c r="T9" s="124"/>
    </row>
    <row r="10" spans="1:20" s="125" customFormat="1" ht="14.25" customHeight="1">
      <c r="A10" s="152"/>
      <c r="B10" s="153"/>
      <c r="C10" s="158" t="s">
        <v>37</v>
      </c>
      <c r="D10" s="153"/>
      <c r="E10" s="155"/>
      <c r="F10" s="156"/>
      <c r="G10" s="159"/>
      <c r="H10" s="122"/>
      <c r="I10" s="122"/>
      <c r="J10" s="122"/>
      <c r="K10" s="122"/>
      <c r="L10" s="122"/>
      <c r="M10" s="122"/>
      <c r="N10" s="123"/>
      <c r="O10" s="124"/>
      <c r="P10" s="124"/>
      <c r="Q10" s="124"/>
      <c r="R10" s="124"/>
      <c r="S10" s="124"/>
      <c r="T10" s="124"/>
    </row>
    <row r="11" spans="1:20" s="125" customFormat="1" ht="17.75" customHeight="1">
      <c r="A11" s="160" t="str">
        <f>A25</f>
        <v>1</v>
      </c>
      <c r="B11" s="161"/>
      <c r="C11" s="162" t="str">
        <f>C25</f>
        <v>Bourací a zemní práce</v>
      </c>
      <c r="D11" s="163"/>
      <c r="E11" s="164"/>
      <c r="F11" s="165"/>
      <c r="G11" s="166">
        <f>G84</f>
        <v>0</v>
      </c>
      <c r="H11" s="122"/>
      <c r="I11" s="122"/>
      <c r="J11" s="122"/>
      <c r="K11" s="122"/>
      <c r="L11" s="122"/>
      <c r="M11" s="122"/>
      <c r="N11" s="123"/>
      <c r="O11" s="124"/>
      <c r="P11" s="124"/>
      <c r="Q11" s="124"/>
      <c r="R11" s="124"/>
      <c r="S11" s="124"/>
      <c r="T11" s="124"/>
    </row>
    <row r="12" spans="1:20" s="125" customFormat="1" ht="17.75" customHeight="1">
      <c r="A12" s="693" t="str">
        <f>A86</f>
        <v>2</v>
      </c>
      <c r="B12" s="694"/>
      <c r="C12" s="695" t="str">
        <f>C86</f>
        <v>Zakládání</v>
      </c>
      <c r="D12" s="696"/>
      <c r="E12" s="697"/>
      <c r="F12" s="698"/>
      <c r="G12" s="699">
        <f>G99</f>
        <v>0</v>
      </c>
      <c r="H12" s="122"/>
      <c r="I12" s="122"/>
      <c r="J12" s="122"/>
      <c r="K12" s="122"/>
      <c r="L12" s="122"/>
      <c r="M12" s="122"/>
      <c r="N12" s="123"/>
      <c r="O12" s="124"/>
      <c r="P12" s="124"/>
      <c r="Q12" s="124"/>
      <c r="R12" s="124"/>
      <c r="S12" s="124"/>
      <c r="T12" s="124"/>
    </row>
    <row r="13" spans="1:20" s="125" customFormat="1" ht="17.75" customHeight="1">
      <c r="A13" s="487" t="str">
        <f>A101</f>
        <v>3</v>
      </c>
      <c r="B13" s="161"/>
      <c r="C13" s="162" t="str">
        <f>C101</f>
        <v>Svislé a kompletní konstrukce</v>
      </c>
      <c r="D13" s="163"/>
      <c r="E13" s="164"/>
      <c r="F13" s="165"/>
      <c r="G13" s="166">
        <f>G118</f>
        <v>0</v>
      </c>
      <c r="H13" s="122"/>
      <c r="I13" s="122"/>
      <c r="J13" s="122"/>
      <c r="K13" s="122"/>
      <c r="L13" s="122"/>
      <c r="M13" s="122"/>
      <c r="N13" s="123"/>
      <c r="O13" s="124"/>
      <c r="P13" s="124"/>
      <c r="Q13" s="124"/>
      <c r="R13" s="124"/>
      <c r="S13" s="124"/>
      <c r="T13" s="124"/>
    </row>
    <row r="14" spans="1:20" s="125" customFormat="1" ht="17.75" customHeight="1">
      <c r="A14" s="693" t="str">
        <f>A120</f>
        <v>4</v>
      </c>
      <c r="B14" s="694"/>
      <c r="C14" s="695" t="str">
        <f>C120</f>
        <v>Vodorovné konstrukce</v>
      </c>
      <c r="D14" s="696"/>
      <c r="E14" s="697"/>
      <c r="F14" s="698"/>
      <c r="G14" s="699">
        <f>G134</f>
        <v>0</v>
      </c>
      <c r="H14" s="122"/>
      <c r="I14" s="122"/>
      <c r="J14" s="122"/>
      <c r="K14" s="122"/>
      <c r="L14" s="122"/>
      <c r="M14" s="122"/>
      <c r="N14" s="123"/>
      <c r="O14" s="124"/>
      <c r="P14" s="124"/>
      <c r="Q14" s="124"/>
      <c r="R14" s="124"/>
      <c r="S14" s="124"/>
      <c r="T14" s="124"/>
    </row>
    <row r="15" spans="1:20" s="125" customFormat="1" ht="17.75" customHeight="1">
      <c r="A15" s="487" t="str">
        <f>A136</f>
        <v>5</v>
      </c>
      <c r="B15" s="161"/>
      <c r="C15" s="162" t="str">
        <f>C136</f>
        <v xml:space="preserve">Úpravy povrchů, stěny, stropy, podlahy </v>
      </c>
      <c r="D15" s="163"/>
      <c r="E15" s="164"/>
      <c r="F15" s="165"/>
      <c r="G15" s="166">
        <f>G198</f>
        <v>0</v>
      </c>
      <c r="H15" s="122"/>
      <c r="I15" s="122"/>
      <c r="J15" s="122"/>
      <c r="K15" s="122"/>
      <c r="L15" s="122"/>
      <c r="M15" s="122"/>
      <c r="N15" s="123"/>
      <c r="O15" s="124"/>
      <c r="P15" s="124"/>
      <c r="Q15" s="124"/>
      <c r="R15" s="124"/>
      <c r="S15" s="124"/>
      <c r="T15" s="124"/>
    </row>
    <row r="16" spans="1:20" s="125" customFormat="1" ht="17.75" customHeight="1">
      <c r="A16" s="160" t="str">
        <f>A200</f>
        <v>6</v>
      </c>
      <c r="B16" s="161"/>
      <c r="C16" s="162" t="str">
        <f>C200</f>
        <v>Osazování výplní</v>
      </c>
      <c r="D16" s="163"/>
      <c r="E16" s="164"/>
      <c r="F16" s="165"/>
      <c r="G16" s="166">
        <f>G211</f>
        <v>0</v>
      </c>
      <c r="H16" s="122"/>
      <c r="I16" s="122"/>
      <c r="J16" s="122"/>
      <c r="K16" s="122"/>
      <c r="L16" s="122"/>
      <c r="M16" s="122"/>
      <c r="N16" s="123"/>
      <c r="O16" s="124"/>
      <c r="P16" s="124"/>
      <c r="Q16" s="124"/>
      <c r="R16" s="124"/>
      <c r="S16" s="124"/>
      <c r="T16" s="124"/>
    </row>
    <row r="17" spans="1:20" s="125" customFormat="1" ht="17.75" customHeight="1">
      <c r="A17" s="160" t="str">
        <f>A213</f>
        <v>7</v>
      </c>
      <c r="B17" s="161"/>
      <c r="C17" s="162" t="str">
        <f>C213</f>
        <v>Přesun hmot</v>
      </c>
      <c r="D17" s="163"/>
      <c r="E17" s="164"/>
      <c r="F17" s="165"/>
      <c r="G17" s="166">
        <f>G217</f>
        <v>0</v>
      </c>
      <c r="H17" s="122"/>
      <c r="I17" s="122"/>
      <c r="J17" s="122"/>
      <c r="K17" s="122"/>
      <c r="L17" s="122"/>
      <c r="M17" s="122"/>
      <c r="N17" s="123"/>
      <c r="O17" s="124"/>
      <c r="P17" s="124"/>
      <c r="Q17" s="124"/>
      <c r="R17" s="124"/>
      <c r="S17" s="124"/>
      <c r="T17" s="124"/>
    </row>
    <row r="18" spans="1:20" s="125" customFormat="1" ht="17.75" customHeight="1">
      <c r="A18" s="160" t="str">
        <f>A219</f>
        <v>8</v>
      </c>
      <c r="B18" s="161"/>
      <c r="C18" s="162" t="str">
        <f>C219</f>
        <v>Podlahy z dlaždic</v>
      </c>
      <c r="D18" s="163"/>
      <c r="E18" s="164"/>
      <c r="F18" s="165"/>
      <c r="G18" s="166">
        <f>G228</f>
        <v>0</v>
      </c>
      <c r="H18" s="122"/>
      <c r="I18" s="122"/>
      <c r="J18" s="122"/>
      <c r="K18" s="122"/>
      <c r="L18" s="122"/>
      <c r="M18" s="122"/>
      <c r="N18" s="123"/>
      <c r="O18" s="124"/>
      <c r="P18" s="124"/>
      <c r="Q18" s="124"/>
      <c r="R18" s="124"/>
      <c r="S18" s="124"/>
      <c r="T18" s="124"/>
    </row>
    <row r="19" spans="1:20" s="125" customFormat="1" ht="17.75" customHeight="1">
      <c r="A19" s="160" t="str">
        <f>A230</f>
        <v>9</v>
      </c>
      <c r="B19" s="161"/>
      <c r="C19" s="162" t="str">
        <f>C230</f>
        <v>Dokončovací práce - obklady</v>
      </c>
      <c r="D19" s="163"/>
      <c r="E19" s="164"/>
      <c r="F19" s="165"/>
      <c r="G19" s="166">
        <f>G239</f>
        <v>0</v>
      </c>
      <c r="H19" s="122"/>
      <c r="I19" s="122"/>
      <c r="J19" s="122"/>
      <c r="K19" s="122"/>
      <c r="L19" s="122"/>
      <c r="M19" s="122"/>
      <c r="N19" s="123"/>
      <c r="O19" s="124"/>
      <c r="P19" s="124"/>
      <c r="Q19" s="124"/>
      <c r="R19" s="124"/>
      <c r="S19" s="124"/>
      <c r="T19" s="124"/>
    </row>
    <row r="20" spans="1:20" s="125" customFormat="1" ht="17.75" customHeight="1">
      <c r="A20" s="160" t="str">
        <f>A241</f>
        <v>10</v>
      </c>
      <c r="B20" s="161"/>
      <c r="C20" s="162" t="str">
        <f>C241</f>
        <v>Dokončovací práce -  malby</v>
      </c>
      <c r="D20" s="163"/>
      <c r="E20" s="164"/>
      <c r="F20" s="165"/>
      <c r="G20" s="166">
        <f>G251</f>
        <v>0</v>
      </c>
      <c r="H20" s="122"/>
      <c r="I20" s="122"/>
      <c r="J20" s="122"/>
      <c r="K20" s="122"/>
      <c r="L20" s="122"/>
      <c r="M20" s="122"/>
      <c r="N20" s="123"/>
      <c r="O20" s="124"/>
      <c r="P20" s="124"/>
      <c r="Q20" s="124"/>
      <c r="R20" s="124"/>
      <c r="S20" s="124"/>
      <c r="T20" s="124"/>
    </row>
    <row r="21" spans="1:7" ht="18" customHeight="1">
      <c r="A21" s="160" t="str">
        <f>A253</f>
        <v>11</v>
      </c>
      <c r="B21" s="161"/>
      <c r="C21" s="162" t="str">
        <f>C253</f>
        <v>Ostatní  práce a dodávky</v>
      </c>
      <c r="D21" s="163"/>
      <c r="E21" s="164"/>
      <c r="F21" s="165"/>
      <c r="G21" s="166">
        <f>G265</f>
        <v>0</v>
      </c>
    </row>
    <row r="22" spans="1:7" ht="13" thickBot="1">
      <c r="A22" s="160"/>
      <c r="B22" s="153"/>
      <c r="C22" s="167"/>
      <c r="D22" s="153"/>
      <c r="E22" s="168"/>
      <c r="F22" s="156"/>
      <c r="G22" s="169"/>
    </row>
    <row r="23" spans="1:11" ht="28.5" customHeight="1" thickBot="1">
      <c r="A23" s="170"/>
      <c r="B23" s="171"/>
      <c r="C23" s="172" t="s">
        <v>38</v>
      </c>
      <c r="D23" s="173"/>
      <c r="E23" s="174"/>
      <c r="F23" s="175"/>
      <c r="G23" s="176">
        <f>SUM(G11:G21)</f>
        <v>0</v>
      </c>
      <c r="H23" s="177" t="s">
        <v>39</v>
      </c>
      <c r="I23" s="178" t="s">
        <v>40</v>
      </c>
      <c r="J23" s="178" t="s">
        <v>41</v>
      </c>
      <c r="K23" s="178" t="s">
        <v>42</v>
      </c>
    </row>
    <row r="24" spans="1:7" ht="13" thickBot="1">
      <c r="A24" s="179"/>
      <c r="B24" s="180"/>
      <c r="C24" s="180"/>
      <c r="D24" s="180"/>
      <c r="E24" s="180"/>
      <c r="F24" s="180"/>
      <c r="G24" s="181"/>
    </row>
    <row r="25" spans="1:20" s="125" customFormat="1" ht="18" customHeight="1" thickBot="1">
      <c r="A25" s="182" t="s">
        <v>43</v>
      </c>
      <c r="B25" s="183"/>
      <c r="C25" s="184" t="s">
        <v>44</v>
      </c>
      <c r="D25" s="185"/>
      <c r="E25" s="186"/>
      <c r="F25" s="187"/>
      <c r="G25" s="188"/>
      <c r="H25" s="122"/>
      <c r="I25" s="122"/>
      <c r="J25" s="122"/>
      <c r="K25" s="122"/>
      <c r="L25" s="122"/>
      <c r="M25" s="122"/>
      <c r="N25" s="123"/>
      <c r="O25" s="124"/>
      <c r="P25" s="124"/>
      <c r="Q25" s="124"/>
      <c r="R25" s="124"/>
      <c r="S25" s="124"/>
      <c r="T25" s="124"/>
    </row>
    <row r="26" spans="1:20" s="125" customFormat="1" ht="12.75" customHeight="1">
      <c r="A26" s="662"/>
      <c r="B26" s="190"/>
      <c r="C26" s="191"/>
      <c r="D26" s="192"/>
      <c r="E26" s="193"/>
      <c r="F26" s="194"/>
      <c r="G26" s="195"/>
      <c r="H26" s="122"/>
      <c r="I26" s="122"/>
      <c r="J26" s="122"/>
      <c r="K26" s="122"/>
      <c r="L26" s="122"/>
      <c r="M26" s="122"/>
      <c r="N26" s="123"/>
      <c r="O26" s="124"/>
      <c r="P26" s="124"/>
      <c r="Q26" s="124"/>
      <c r="R26" s="124"/>
      <c r="S26" s="124"/>
      <c r="T26" s="124"/>
    </row>
    <row r="27" spans="1:20" s="510" customFormat="1" ht="23.25" customHeight="1">
      <c r="A27" s="196" t="s">
        <v>45</v>
      </c>
      <c r="B27" s="663" t="s">
        <v>1379</v>
      </c>
      <c r="C27" s="700" t="s">
        <v>1380</v>
      </c>
      <c r="D27" s="198" t="s">
        <v>1381</v>
      </c>
      <c r="E27" s="199">
        <v>6</v>
      </c>
      <c r="F27" s="199"/>
      <c r="G27" s="200">
        <f>E27*F27</f>
        <v>0</v>
      </c>
      <c r="H27" s="201">
        <v>0</v>
      </c>
      <c r="I27" s="201">
        <f>E27*H27</f>
        <v>0</v>
      </c>
      <c r="J27" s="701">
        <v>0.01933</v>
      </c>
      <c r="K27" s="673">
        <f>E27*J27</f>
        <v>0.11598</v>
      </c>
      <c r="L27" s="702"/>
      <c r="M27" s="701"/>
      <c r="N27" s="703"/>
      <c r="O27" s="704"/>
      <c r="P27" s="704"/>
      <c r="Q27" s="704"/>
      <c r="R27" s="704"/>
      <c r="S27" s="704"/>
      <c r="T27" s="704"/>
    </row>
    <row r="28" spans="1:20" s="510" customFormat="1" ht="23.25" customHeight="1">
      <c r="A28" s="196" t="s">
        <v>47</v>
      </c>
      <c r="B28" s="663" t="s">
        <v>1382</v>
      </c>
      <c r="C28" s="700" t="s">
        <v>1383</v>
      </c>
      <c r="D28" s="198" t="s">
        <v>1381</v>
      </c>
      <c r="E28" s="199">
        <v>5</v>
      </c>
      <c r="F28" s="199"/>
      <c r="G28" s="200">
        <f>E28*F28</f>
        <v>0</v>
      </c>
      <c r="H28" s="201">
        <v>0</v>
      </c>
      <c r="I28" s="201">
        <f>E28*H28</f>
        <v>0</v>
      </c>
      <c r="J28" s="701">
        <v>0.03968</v>
      </c>
      <c r="K28" s="673">
        <f>E28*J28</f>
        <v>0.1984</v>
      </c>
      <c r="L28" s="702"/>
      <c r="M28" s="701"/>
      <c r="N28" s="703"/>
      <c r="O28" s="704"/>
      <c r="P28" s="704"/>
      <c r="Q28" s="704"/>
      <c r="R28" s="704"/>
      <c r="S28" s="704"/>
      <c r="T28" s="704"/>
    </row>
    <row r="29" spans="1:20" s="510" customFormat="1" ht="23.25" customHeight="1">
      <c r="A29" s="196" t="s">
        <v>50</v>
      </c>
      <c r="B29" s="663" t="s">
        <v>1384</v>
      </c>
      <c r="C29" s="700" t="s">
        <v>1385</v>
      </c>
      <c r="D29" s="198" t="s">
        <v>1381</v>
      </c>
      <c r="E29" s="199">
        <v>2</v>
      </c>
      <c r="F29" s="199"/>
      <c r="G29" s="200">
        <f>E29*F29</f>
        <v>0</v>
      </c>
      <c r="H29" s="201">
        <v>0</v>
      </c>
      <c r="I29" s="201">
        <f>E29*H29</f>
        <v>0</v>
      </c>
      <c r="J29" s="701">
        <v>0.01946</v>
      </c>
      <c r="K29" s="673">
        <f>E29*J29</f>
        <v>0.03892</v>
      </c>
      <c r="L29" s="702"/>
      <c r="M29" s="701"/>
      <c r="N29" s="703"/>
      <c r="O29" s="704"/>
      <c r="P29" s="704"/>
      <c r="Q29" s="704"/>
      <c r="R29" s="704"/>
      <c r="S29" s="704"/>
      <c r="T29" s="704"/>
    </row>
    <row r="30" spans="1:20" s="510" customFormat="1" ht="18" customHeight="1">
      <c r="A30" s="196" t="s">
        <v>53</v>
      </c>
      <c r="B30" s="663" t="s">
        <v>1456</v>
      </c>
      <c r="C30" s="700" t="s">
        <v>1457</v>
      </c>
      <c r="D30" s="198" t="s">
        <v>1381</v>
      </c>
      <c r="E30" s="199">
        <v>1</v>
      </c>
      <c r="F30" s="199"/>
      <c r="G30" s="200">
        <f>E30*F30</f>
        <v>0</v>
      </c>
      <c r="H30" s="701"/>
      <c r="I30" s="701"/>
      <c r="J30" s="701"/>
      <c r="K30" s="702"/>
      <c r="L30" s="702"/>
      <c r="M30" s="701"/>
      <c r="N30" s="703"/>
      <c r="O30" s="704"/>
      <c r="P30" s="704"/>
      <c r="Q30" s="704"/>
      <c r="R30" s="704"/>
      <c r="S30" s="704"/>
      <c r="T30" s="704"/>
    </row>
    <row r="31" spans="1:20" s="204" customFormat="1" ht="19.5" customHeight="1">
      <c r="A31" s="196" t="s">
        <v>56</v>
      </c>
      <c r="B31" s="197">
        <v>766691914</v>
      </c>
      <c r="C31" s="136" t="s">
        <v>1393</v>
      </c>
      <c r="D31" s="198" t="s">
        <v>175</v>
      </c>
      <c r="E31" s="199">
        <v>6</v>
      </c>
      <c r="F31" s="199"/>
      <c r="G31" s="200">
        <f>E31*F31</f>
        <v>0</v>
      </c>
      <c r="H31" s="201">
        <v>0</v>
      </c>
      <c r="I31" s="201">
        <f>E31*H31</f>
        <v>0</v>
      </c>
      <c r="J31" s="85">
        <v>0.024</v>
      </c>
      <c r="K31" s="673">
        <f>E31*J31</f>
        <v>0.14400000000000002</v>
      </c>
      <c r="L31" s="673"/>
      <c r="M31" s="85"/>
      <c r="N31" s="202"/>
      <c r="O31" s="203"/>
      <c r="P31" s="203"/>
      <c r="Q31" s="203"/>
      <c r="R31" s="203"/>
      <c r="S31" s="203"/>
      <c r="T31" s="203"/>
    </row>
    <row r="32" spans="1:20" s="204" customFormat="1" ht="11.25" customHeight="1">
      <c r="A32" s="671"/>
      <c r="B32" s="672"/>
      <c r="C32" s="667"/>
      <c r="D32" s="668"/>
      <c r="E32" s="669"/>
      <c r="F32" s="669"/>
      <c r="G32" s="670"/>
      <c r="H32" s="201"/>
      <c r="I32" s="201"/>
      <c r="J32" s="85"/>
      <c r="K32" s="673"/>
      <c r="L32" s="673"/>
      <c r="M32" s="85"/>
      <c r="N32" s="202"/>
      <c r="O32" s="203"/>
      <c r="P32" s="203"/>
      <c r="Q32" s="203"/>
      <c r="R32" s="203"/>
      <c r="S32" s="203"/>
      <c r="T32" s="203"/>
    </row>
    <row r="33" spans="1:20" s="204" customFormat="1" ht="23.25" customHeight="1">
      <c r="A33" s="196" t="s">
        <v>58</v>
      </c>
      <c r="B33" s="197" t="s">
        <v>1376</v>
      </c>
      <c r="C33" s="136" t="s">
        <v>1377</v>
      </c>
      <c r="D33" s="198" t="s">
        <v>46</v>
      </c>
      <c r="E33" s="199">
        <f>SUM(D34)</f>
        <v>54.103</v>
      </c>
      <c r="F33" s="199"/>
      <c r="G33" s="200">
        <f>E33*F33</f>
        <v>0</v>
      </c>
      <c r="H33" s="201">
        <v>0</v>
      </c>
      <c r="I33" s="201">
        <f>E33*H33</f>
        <v>0</v>
      </c>
      <c r="J33" s="85">
        <v>0.131</v>
      </c>
      <c r="K33" s="673">
        <f>E33*J33</f>
        <v>7.087493</v>
      </c>
      <c r="L33" s="673"/>
      <c r="M33" s="85"/>
      <c r="N33" s="202"/>
      <c r="O33" s="203"/>
      <c r="P33" s="203"/>
      <c r="Q33" s="203"/>
      <c r="R33" s="203"/>
      <c r="S33" s="203"/>
      <c r="T33" s="203"/>
    </row>
    <row r="34" spans="1:20" s="214" customFormat="1" ht="15" customHeight="1">
      <c r="A34" s="196"/>
      <c r="B34" s="205"/>
      <c r="C34" s="206" t="s">
        <v>1378</v>
      </c>
      <c r="D34" s="207">
        <f>(2.7+4.6+1.65+1.45+1.8+1.45+1.45+1.8+3.2+1.45+1.1)*2.7-0.6*1.97*6+0.04</f>
        <v>54.103</v>
      </c>
      <c r="E34" s="208"/>
      <c r="F34" s="208"/>
      <c r="G34" s="209"/>
      <c r="H34" s="210"/>
      <c r="I34" s="210"/>
      <c r="J34" s="211"/>
      <c r="K34" s="673"/>
      <c r="L34" s="705"/>
      <c r="M34" s="211"/>
      <c r="N34" s="212"/>
      <c r="O34" s="213"/>
      <c r="P34" s="213"/>
      <c r="Q34" s="213"/>
      <c r="R34" s="213"/>
      <c r="S34" s="213"/>
      <c r="T34" s="213"/>
    </row>
    <row r="35" spans="1:20" s="204" customFormat="1" ht="23.25" customHeight="1">
      <c r="A35" s="196" t="s">
        <v>61</v>
      </c>
      <c r="B35" s="197">
        <v>968072455</v>
      </c>
      <c r="C35" s="136" t="s">
        <v>1089</v>
      </c>
      <c r="D35" s="198" t="s">
        <v>46</v>
      </c>
      <c r="E35" s="199">
        <f>SUM(D36)</f>
        <v>7.101999999999999</v>
      </c>
      <c r="F35" s="199"/>
      <c r="G35" s="200">
        <f>E35*F35</f>
        <v>0</v>
      </c>
      <c r="H35" s="201">
        <v>0</v>
      </c>
      <c r="I35" s="201">
        <f>E35*H35</f>
        <v>0</v>
      </c>
      <c r="J35" s="85">
        <v>0.076</v>
      </c>
      <c r="K35" s="673">
        <f>E35*J35</f>
        <v>0.5397519999999999</v>
      </c>
      <c r="L35" s="673"/>
      <c r="M35" s="85"/>
      <c r="N35" s="202"/>
      <c r="O35" s="203"/>
      <c r="P35" s="203"/>
      <c r="Q35" s="203"/>
      <c r="R35" s="203"/>
      <c r="S35" s="203"/>
      <c r="T35" s="203"/>
    </row>
    <row r="36" spans="1:20" s="214" customFormat="1" ht="15" customHeight="1">
      <c r="A36" s="196"/>
      <c r="B36" s="706"/>
      <c r="C36" s="707" t="s">
        <v>1375</v>
      </c>
      <c r="D36" s="708">
        <f>0.6*1.97*6+0.01</f>
        <v>7.101999999999999</v>
      </c>
      <c r="E36" s="709"/>
      <c r="F36" s="709"/>
      <c r="G36" s="710"/>
      <c r="H36" s="210"/>
      <c r="I36" s="210"/>
      <c r="J36" s="211"/>
      <c r="K36" s="673"/>
      <c r="L36" s="705"/>
      <c r="M36" s="211"/>
      <c r="N36" s="212"/>
      <c r="O36" s="213"/>
      <c r="P36" s="213"/>
      <c r="Q36" s="213"/>
      <c r="R36" s="213"/>
      <c r="S36" s="213"/>
      <c r="T36" s="213"/>
    </row>
    <row r="37" spans="1:20" s="204" customFormat="1" ht="24.75" customHeight="1">
      <c r="A37" s="196" t="s">
        <v>63</v>
      </c>
      <c r="B37" s="197" t="s">
        <v>1373</v>
      </c>
      <c r="C37" s="136" t="s">
        <v>1374</v>
      </c>
      <c r="D37" s="198" t="s">
        <v>52</v>
      </c>
      <c r="E37" s="199">
        <v>1.45</v>
      </c>
      <c r="F37" s="199"/>
      <c r="G37" s="200">
        <f>E37*F37</f>
        <v>0</v>
      </c>
      <c r="H37" s="201">
        <v>0</v>
      </c>
      <c r="I37" s="201">
        <f>E37*H37</f>
        <v>0</v>
      </c>
      <c r="J37" s="85">
        <v>1.8</v>
      </c>
      <c r="K37" s="673">
        <f>E37*J37</f>
        <v>2.61</v>
      </c>
      <c r="L37" s="673"/>
      <c r="M37" s="85"/>
      <c r="N37" s="202"/>
      <c r="O37" s="203"/>
      <c r="P37" s="203"/>
      <c r="Q37" s="203"/>
      <c r="R37" s="203"/>
      <c r="S37" s="203"/>
      <c r="T37" s="203"/>
    </row>
    <row r="38" spans="1:20" s="204" customFormat="1" ht="29.25" customHeight="1">
      <c r="A38" s="196" t="s">
        <v>64</v>
      </c>
      <c r="B38" s="197">
        <v>973031151</v>
      </c>
      <c r="C38" s="136" t="s">
        <v>62</v>
      </c>
      <c r="D38" s="198" t="s">
        <v>52</v>
      </c>
      <c r="E38" s="199">
        <v>0.28</v>
      </c>
      <c r="F38" s="199"/>
      <c r="G38" s="200">
        <f>E38*F38</f>
        <v>0</v>
      </c>
      <c r="H38" s="201">
        <v>0</v>
      </c>
      <c r="I38" s="201">
        <f>E38*H38</f>
        <v>0</v>
      </c>
      <c r="J38" s="85">
        <v>1.8</v>
      </c>
      <c r="K38" s="673">
        <f>E38*J38</f>
        <v>0.5040000000000001</v>
      </c>
      <c r="L38" s="673"/>
      <c r="M38" s="85"/>
      <c r="N38" s="202"/>
      <c r="O38" s="203"/>
      <c r="P38" s="203"/>
      <c r="Q38" s="203"/>
      <c r="R38" s="203"/>
      <c r="S38" s="203"/>
      <c r="T38" s="203"/>
    </row>
    <row r="39" spans="1:20" s="204" customFormat="1" ht="19.5" customHeight="1">
      <c r="A39" s="196" t="s">
        <v>66</v>
      </c>
      <c r="B39" s="197" t="s">
        <v>65</v>
      </c>
      <c r="C39" s="136" t="s">
        <v>1390</v>
      </c>
      <c r="D39" s="198" t="s">
        <v>46</v>
      </c>
      <c r="E39" s="199">
        <f>SUM(D40)</f>
        <v>33.4</v>
      </c>
      <c r="F39" s="199"/>
      <c r="G39" s="200">
        <f>E39*F39</f>
        <v>0</v>
      </c>
      <c r="H39" s="201">
        <v>0</v>
      </c>
      <c r="I39" s="201">
        <f>E39*H39</f>
        <v>0</v>
      </c>
      <c r="J39" s="85">
        <v>0.068</v>
      </c>
      <c r="K39" s="673">
        <f>E39*J39</f>
        <v>2.2712</v>
      </c>
      <c r="L39" s="673"/>
      <c r="M39" s="85"/>
      <c r="N39" s="202"/>
      <c r="O39" s="203"/>
      <c r="P39" s="203"/>
      <c r="Q39" s="203"/>
      <c r="R39" s="203"/>
      <c r="S39" s="203"/>
      <c r="T39" s="203"/>
    </row>
    <row r="40" spans="1:20" s="214" customFormat="1" ht="15" customHeight="1">
      <c r="A40" s="196"/>
      <c r="B40" s="205" t="s">
        <v>1458</v>
      </c>
      <c r="C40" s="206" t="s">
        <v>1388</v>
      </c>
      <c r="D40" s="207">
        <f>(1.4+1.4+1.9+0.8+11.2)*2</f>
        <v>33.4</v>
      </c>
      <c r="E40" s="208"/>
      <c r="F40" s="208"/>
      <c r="G40" s="209"/>
      <c r="H40" s="210"/>
      <c r="I40" s="210"/>
      <c r="J40" s="211"/>
      <c r="K40" s="673"/>
      <c r="L40" s="705"/>
      <c r="M40" s="211"/>
      <c r="N40" s="212"/>
      <c r="O40" s="213"/>
      <c r="P40" s="213"/>
      <c r="Q40" s="213"/>
      <c r="R40" s="213"/>
      <c r="S40" s="213"/>
      <c r="T40" s="213"/>
    </row>
    <row r="41" spans="1:20" s="204" customFormat="1" ht="29.25" customHeight="1">
      <c r="A41" s="196" t="s">
        <v>70</v>
      </c>
      <c r="B41" s="197" t="s">
        <v>67</v>
      </c>
      <c r="C41" s="136" t="s">
        <v>1389</v>
      </c>
      <c r="D41" s="198" t="s">
        <v>46</v>
      </c>
      <c r="E41" s="199">
        <f>SUM(D42)</f>
        <v>24.7</v>
      </c>
      <c r="F41" s="199"/>
      <c r="G41" s="200">
        <f>E41*F41</f>
        <v>0</v>
      </c>
      <c r="H41" s="201">
        <v>0</v>
      </c>
      <c r="I41" s="201">
        <f>E41*H41</f>
        <v>0</v>
      </c>
      <c r="J41" s="85">
        <v>0.046</v>
      </c>
      <c r="K41" s="673">
        <f>E41*J41</f>
        <v>1.1361999999999999</v>
      </c>
      <c r="L41" s="673"/>
      <c r="M41" s="85"/>
      <c r="N41" s="202"/>
      <c r="O41" s="203"/>
      <c r="P41" s="203"/>
      <c r="Q41" s="203"/>
      <c r="R41" s="203"/>
      <c r="S41" s="203"/>
      <c r="T41" s="203"/>
    </row>
    <row r="42" spans="1:20" s="214" customFormat="1" ht="15" customHeight="1">
      <c r="A42" s="196"/>
      <c r="B42" s="205"/>
      <c r="C42" s="206" t="s">
        <v>1459</v>
      </c>
      <c r="D42" s="207">
        <f>(12.1+3.8+3.1)*1.3</f>
        <v>24.7</v>
      </c>
      <c r="E42" s="208"/>
      <c r="F42" s="208"/>
      <c r="G42" s="209"/>
      <c r="H42" s="210"/>
      <c r="I42" s="210"/>
      <c r="J42" s="211"/>
      <c r="K42" s="673"/>
      <c r="L42" s="705"/>
      <c r="M42" s="211"/>
      <c r="N42" s="212"/>
      <c r="O42" s="213"/>
      <c r="P42" s="213"/>
      <c r="Q42" s="213"/>
      <c r="R42" s="213"/>
      <c r="S42" s="213"/>
      <c r="T42" s="213"/>
    </row>
    <row r="43" spans="1:20" s="204" customFormat="1" ht="24.75" customHeight="1">
      <c r="A43" s="196" t="s">
        <v>74</v>
      </c>
      <c r="B43" s="672" t="s">
        <v>1449</v>
      </c>
      <c r="C43" s="667" t="s">
        <v>1450</v>
      </c>
      <c r="D43" s="668" t="s">
        <v>116</v>
      </c>
      <c r="E43" s="669">
        <f>SUM(D44)</f>
        <v>39</v>
      </c>
      <c r="F43" s="669"/>
      <c r="G43" s="200">
        <f>E43*F43</f>
        <v>0</v>
      </c>
      <c r="H43" s="201">
        <v>0</v>
      </c>
      <c r="I43" s="201">
        <f>E43*H43</f>
        <v>0</v>
      </c>
      <c r="J43" s="85">
        <v>0.008</v>
      </c>
      <c r="K43" s="673">
        <f>E43*J43</f>
        <v>0.312</v>
      </c>
      <c r="L43" s="673"/>
      <c r="M43" s="85"/>
      <c r="N43" s="202"/>
      <c r="O43" s="203"/>
      <c r="P43" s="203"/>
      <c r="Q43" s="203"/>
      <c r="R43" s="203"/>
      <c r="S43" s="203"/>
      <c r="T43" s="203"/>
    </row>
    <row r="44" spans="1:20" s="214" customFormat="1" ht="15" customHeight="1">
      <c r="A44" s="196"/>
      <c r="B44" s="205" t="s">
        <v>1386</v>
      </c>
      <c r="C44" s="206" t="s">
        <v>1453</v>
      </c>
      <c r="D44" s="207">
        <f>12*3.25</f>
        <v>39</v>
      </c>
      <c r="E44" s="208"/>
      <c r="F44" s="208"/>
      <c r="G44" s="209"/>
      <c r="H44" s="210"/>
      <c r="I44" s="210"/>
      <c r="J44" s="211"/>
      <c r="K44" s="673"/>
      <c r="L44" s="705"/>
      <c r="M44" s="211"/>
      <c r="N44" s="212"/>
      <c r="O44" s="213"/>
      <c r="P44" s="213"/>
      <c r="Q44" s="213"/>
      <c r="R44" s="213"/>
      <c r="S44" s="213"/>
      <c r="T44" s="213"/>
    </row>
    <row r="45" spans="1:20" s="204" customFormat="1" ht="29.25" customHeight="1">
      <c r="A45" s="196" t="s">
        <v>77</v>
      </c>
      <c r="B45" s="672" t="s">
        <v>1451</v>
      </c>
      <c r="C45" s="667" t="s">
        <v>1452</v>
      </c>
      <c r="D45" s="668" t="s">
        <v>46</v>
      </c>
      <c r="E45" s="669">
        <f>SUM(D46)</f>
        <v>24.200000000000003</v>
      </c>
      <c r="F45" s="669"/>
      <c r="G45" s="200">
        <f>E45*F45</f>
        <v>0</v>
      </c>
      <c r="H45" s="201">
        <v>0</v>
      </c>
      <c r="I45" s="201">
        <f>E45*H45</f>
        <v>0</v>
      </c>
      <c r="J45" s="85">
        <v>0.04</v>
      </c>
      <c r="K45" s="673">
        <f>E45*J45</f>
        <v>0.9680000000000001</v>
      </c>
      <c r="L45" s="673"/>
      <c r="M45" s="85"/>
      <c r="N45" s="202"/>
      <c r="O45" s="203"/>
      <c r="P45" s="203"/>
      <c r="Q45" s="203"/>
      <c r="R45" s="203"/>
      <c r="S45" s="203"/>
      <c r="T45" s="203"/>
    </row>
    <row r="46" spans="1:20" s="214" customFormat="1" ht="15" customHeight="1">
      <c r="A46" s="196"/>
      <c r="B46" s="205" t="s">
        <v>1386</v>
      </c>
      <c r="C46" s="206" t="s">
        <v>1387</v>
      </c>
      <c r="D46" s="207">
        <f>12.8+11.4</f>
        <v>24.200000000000003</v>
      </c>
      <c r="E46" s="208"/>
      <c r="F46" s="208"/>
      <c r="G46" s="209"/>
      <c r="H46" s="210"/>
      <c r="I46" s="210"/>
      <c r="J46" s="211"/>
      <c r="K46" s="673"/>
      <c r="L46" s="705"/>
      <c r="M46" s="211"/>
      <c r="N46" s="212"/>
      <c r="O46" s="213"/>
      <c r="P46" s="213"/>
      <c r="Q46" s="213"/>
      <c r="R46" s="213"/>
      <c r="S46" s="213"/>
      <c r="T46" s="213"/>
    </row>
    <row r="47" spans="1:20" s="204" customFormat="1" ht="16.5" customHeight="1">
      <c r="A47" s="671"/>
      <c r="B47" s="672"/>
      <c r="C47" s="667"/>
      <c r="D47" s="668"/>
      <c r="E47" s="669"/>
      <c r="F47" s="669"/>
      <c r="G47" s="670"/>
      <c r="H47" s="201"/>
      <c r="I47" s="201"/>
      <c r="J47" s="85"/>
      <c r="K47" s="673"/>
      <c r="L47" s="673"/>
      <c r="M47" s="85"/>
      <c r="N47" s="202"/>
      <c r="O47" s="203"/>
      <c r="P47" s="203"/>
      <c r="Q47" s="203"/>
      <c r="R47" s="203"/>
      <c r="S47" s="203"/>
      <c r="T47" s="203"/>
    </row>
    <row r="48" spans="1:20" s="204" customFormat="1" ht="29.25" customHeight="1">
      <c r="A48" s="196" t="s">
        <v>80</v>
      </c>
      <c r="B48" s="197">
        <v>965081223</v>
      </c>
      <c r="C48" s="136" t="s">
        <v>1692</v>
      </c>
      <c r="D48" s="198" t="s">
        <v>46</v>
      </c>
      <c r="E48" s="199">
        <v>24.2</v>
      </c>
      <c r="F48" s="199"/>
      <c r="G48" s="200">
        <f>E48*F48</f>
        <v>0</v>
      </c>
      <c r="H48" s="201">
        <v>0</v>
      </c>
      <c r="I48" s="201">
        <f>E48*H48</f>
        <v>0</v>
      </c>
      <c r="J48" s="85">
        <v>0.057</v>
      </c>
      <c r="K48" s="673">
        <f>E48*J48</f>
        <v>1.3794</v>
      </c>
      <c r="L48" s="673"/>
      <c r="M48" s="85"/>
      <c r="N48" s="202"/>
      <c r="O48" s="203"/>
      <c r="P48" s="203"/>
      <c r="Q48" s="203"/>
      <c r="R48" s="203"/>
      <c r="S48" s="203"/>
      <c r="T48" s="203"/>
    </row>
    <row r="49" spans="1:20" s="204" customFormat="1" ht="29.25" customHeight="1">
      <c r="A49" s="196" t="s">
        <v>82</v>
      </c>
      <c r="B49" s="197" t="s">
        <v>48</v>
      </c>
      <c r="C49" s="136" t="s">
        <v>49</v>
      </c>
      <c r="D49" s="198" t="s">
        <v>46</v>
      </c>
      <c r="E49" s="199">
        <f>E48</f>
        <v>24.2</v>
      </c>
      <c r="F49" s="199"/>
      <c r="G49" s="200">
        <f>E49*F49</f>
        <v>0</v>
      </c>
      <c r="H49" s="201">
        <v>0</v>
      </c>
      <c r="I49" s="201">
        <f>E49*H49</f>
        <v>0</v>
      </c>
      <c r="J49" s="85">
        <v>0.09</v>
      </c>
      <c r="K49" s="673">
        <f>E49*J49</f>
        <v>2.178</v>
      </c>
      <c r="L49" s="673"/>
      <c r="M49" s="85"/>
      <c r="N49" s="202"/>
      <c r="O49" s="203"/>
      <c r="P49" s="203"/>
      <c r="Q49" s="203"/>
      <c r="R49" s="203"/>
      <c r="S49" s="203"/>
      <c r="T49" s="203"/>
    </row>
    <row r="50" spans="1:20" s="204" customFormat="1" ht="29.25" customHeight="1">
      <c r="A50" s="196" t="s">
        <v>84</v>
      </c>
      <c r="B50" s="197" t="s">
        <v>51</v>
      </c>
      <c r="C50" s="136" t="s">
        <v>1035</v>
      </c>
      <c r="D50" s="198" t="s">
        <v>52</v>
      </c>
      <c r="E50" s="199">
        <f>SUM(D51)</f>
        <v>2.42</v>
      </c>
      <c r="F50" s="199"/>
      <c r="G50" s="200">
        <f>E50*F50</f>
        <v>0</v>
      </c>
      <c r="H50" s="201">
        <v>0</v>
      </c>
      <c r="I50" s="201">
        <f>E50*H50</f>
        <v>0</v>
      </c>
      <c r="J50" s="85">
        <v>2.2</v>
      </c>
      <c r="K50" s="673">
        <f>E50*J50</f>
        <v>5.324</v>
      </c>
      <c r="L50" s="673"/>
      <c r="M50" s="85"/>
      <c r="N50" s="202"/>
      <c r="O50" s="203"/>
      <c r="P50" s="203"/>
      <c r="Q50" s="203"/>
      <c r="R50" s="203"/>
      <c r="S50" s="203"/>
      <c r="T50" s="203"/>
    </row>
    <row r="51" spans="1:20" s="214" customFormat="1" ht="15" customHeight="1">
      <c r="A51" s="196"/>
      <c r="B51" s="205"/>
      <c r="C51" s="206" t="s">
        <v>1391</v>
      </c>
      <c r="D51" s="207">
        <f>24.2*0.1</f>
        <v>2.42</v>
      </c>
      <c r="E51" s="208"/>
      <c r="F51" s="208"/>
      <c r="G51" s="209"/>
      <c r="H51" s="210"/>
      <c r="I51" s="210"/>
      <c r="J51" s="211"/>
      <c r="K51" s="673"/>
      <c r="L51" s="705"/>
      <c r="M51" s="211"/>
      <c r="N51" s="212"/>
      <c r="O51" s="213"/>
      <c r="P51" s="213"/>
      <c r="Q51" s="213"/>
      <c r="R51" s="213"/>
      <c r="S51" s="213"/>
      <c r="T51" s="213"/>
    </row>
    <row r="52" spans="1:20" s="204" customFormat="1" ht="29.25" customHeight="1">
      <c r="A52" s="196" t="s">
        <v>85</v>
      </c>
      <c r="B52" s="197" t="s">
        <v>54</v>
      </c>
      <c r="C52" s="136" t="s">
        <v>55</v>
      </c>
      <c r="D52" s="198" t="s">
        <v>52</v>
      </c>
      <c r="E52" s="199">
        <f>E50</f>
        <v>2.42</v>
      </c>
      <c r="F52" s="199"/>
      <c r="G52" s="200">
        <f>E52*F52</f>
        <v>0</v>
      </c>
      <c r="H52" s="201">
        <v>0</v>
      </c>
      <c r="I52" s="201">
        <f>E52*H52</f>
        <v>0</v>
      </c>
      <c r="J52" s="85">
        <v>0.044</v>
      </c>
      <c r="K52" s="673">
        <f>E52*J52</f>
        <v>0.10647999999999999</v>
      </c>
      <c r="L52" s="673"/>
      <c r="M52" s="85"/>
      <c r="N52" s="202"/>
      <c r="O52" s="203"/>
      <c r="P52" s="203"/>
      <c r="Q52" s="203"/>
      <c r="R52" s="203"/>
      <c r="S52" s="203"/>
      <c r="T52" s="203"/>
    </row>
    <row r="53" spans="1:20" s="204" customFormat="1" ht="21.75" customHeight="1">
      <c r="A53" s="196" t="s">
        <v>89</v>
      </c>
      <c r="B53" s="197">
        <v>711131811</v>
      </c>
      <c r="C53" s="136" t="s">
        <v>57</v>
      </c>
      <c r="D53" s="198" t="s">
        <v>46</v>
      </c>
      <c r="E53" s="199">
        <v>24.2</v>
      </c>
      <c r="F53" s="199"/>
      <c r="G53" s="200">
        <f>E53*F53</f>
        <v>0</v>
      </c>
      <c r="H53" s="201">
        <v>0</v>
      </c>
      <c r="I53" s="201">
        <f>E53*H53</f>
        <v>0</v>
      </c>
      <c r="J53" s="85">
        <v>0.004</v>
      </c>
      <c r="K53" s="673">
        <f>E53*J53</f>
        <v>0.0968</v>
      </c>
      <c r="L53" s="673"/>
      <c r="M53" s="85"/>
      <c r="N53" s="202"/>
      <c r="O53" s="203"/>
      <c r="P53" s="203"/>
      <c r="Q53" s="203"/>
      <c r="R53" s="203"/>
      <c r="S53" s="203"/>
      <c r="T53" s="203"/>
    </row>
    <row r="54" spans="1:20" s="204" customFormat="1" ht="29.25" customHeight="1">
      <c r="A54" s="196" t="s">
        <v>91</v>
      </c>
      <c r="B54" s="197" t="s">
        <v>59</v>
      </c>
      <c r="C54" s="136" t="s">
        <v>60</v>
      </c>
      <c r="D54" s="198" t="s">
        <v>52</v>
      </c>
      <c r="E54" s="199">
        <f>SUM(D55)</f>
        <v>3.63</v>
      </c>
      <c r="F54" s="199"/>
      <c r="G54" s="200">
        <f>E54*F54</f>
        <v>0</v>
      </c>
      <c r="H54" s="201">
        <v>0</v>
      </c>
      <c r="I54" s="201">
        <f>E54*H54</f>
        <v>0</v>
      </c>
      <c r="J54" s="85">
        <v>1.4</v>
      </c>
      <c r="K54" s="673">
        <f>E54*J54</f>
        <v>5.082</v>
      </c>
      <c r="L54" s="673"/>
      <c r="M54" s="85"/>
      <c r="N54" s="202"/>
      <c r="O54" s="203"/>
      <c r="P54" s="203"/>
      <c r="Q54" s="203"/>
      <c r="R54" s="203"/>
      <c r="S54" s="203"/>
      <c r="T54" s="203"/>
    </row>
    <row r="55" spans="1:20" s="214" customFormat="1" ht="15" customHeight="1">
      <c r="A55" s="196"/>
      <c r="B55" s="205"/>
      <c r="C55" s="206" t="s">
        <v>1392</v>
      </c>
      <c r="D55" s="207">
        <f>24.2*0.15</f>
        <v>3.63</v>
      </c>
      <c r="E55" s="208"/>
      <c r="F55" s="208"/>
      <c r="G55" s="209"/>
      <c r="H55" s="210"/>
      <c r="I55" s="210"/>
      <c r="J55" s="211"/>
      <c r="K55" s="85"/>
      <c r="L55" s="211"/>
      <c r="M55" s="211"/>
      <c r="N55" s="212"/>
      <c r="O55" s="213"/>
      <c r="P55" s="213"/>
      <c r="Q55" s="213"/>
      <c r="R55" s="213"/>
      <c r="S55" s="213"/>
      <c r="T55" s="213"/>
    </row>
    <row r="56" spans="1:20" s="214" customFormat="1" ht="12" customHeight="1">
      <c r="A56" s="962"/>
      <c r="B56" s="963"/>
      <c r="C56" s="964"/>
      <c r="D56" s="965"/>
      <c r="E56" s="966"/>
      <c r="F56" s="966"/>
      <c r="G56" s="967"/>
      <c r="H56" s="210"/>
      <c r="I56" s="210"/>
      <c r="J56" s="211"/>
      <c r="K56" s="85"/>
      <c r="L56" s="211"/>
      <c r="M56" s="211"/>
      <c r="N56" s="212"/>
      <c r="O56" s="213"/>
      <c r="P56" s="213"/>
      <c r="Q56" s="213"/>
      <c r="R56" s="213"/>
      <c r="S56" s="213"/>
      <c r="T56" s="213"/>
    </row>
    <row r="57" spans="1:20" s="214" customFormat="1" ht="29.25" customHeight="1">
      <c r="A57" s="196" t="s">
        <v>93</v>
      </c>
      <c r="B57" s="957">
        <v>973031324</v>
      </c>
      <c r="C57" s="968" t="s">
        <v>2333</v>
      </c>
      <c r="D57" s="712" t="s">
        <v>175</v>
      </c>
      <c r="E57" s="713">
        <v>14</v>
      </c>
      <c r="F57" s="713"/>
      <c r="G57" s="200">
        <f>E57*F57</f>
        <v>0</v>
      </c>
      <c r="H57" s="201">
        <v>0</v>
      </c>
      <c r="I57" s="201">
        <f>E57*H57</f>
        <v>0</v>
      </c>
      <c r="J57" s="85">
        <v>0.015</v>
      </c>
      <c r="K57" s="673">
        <f>E57*J57</f>
        <v>0.21</v>
      </c>
      <c r="L57" s="211"/>
      <c r="M57" s="211"/>
      <c r="N57" s="212"/>
      <c r="O57" s="213"/>
      <c r="P57" s="213"/>
      <c r="Q57" s="213"/>
      <c r="R57" s="213"/>
      <c r="S57" s="213"/>
      <c r="T57" s="213"/>
    </row>
    <row r="58" spans="1:20" s="214" customFormat="1" ht="15" customHeight="1">
      <c r="A58" s="196"/>
      <c r="B58" s="205"/>
      <c r="C58" s="206"/>
      <c r="D58" s="207"/>
      <c r="E58" s="208"/>
      <c r="F58" s="208"/>
      <c r="G58" s="209"/>
      <c r="H58" s="210"/>
      <c r="I58" s="210"/>
      <c r="J58" s="211"/>
      <c r="K58" s="85"/>
      <c r="L58" s="211"/>
      <c r="M58" s="211"/>
      <c r="N58" s="212"/>
      <c r="O58" s="213"/>
      <c r="P58" s="213"/>
      <c r="Q58" s="213"/>
      <c r="R58" s="213"/>
      <c r="S58" s="213"/>
      <c r="T58" s="213"/>
    </row>
    <row r="59" spans="1:20" s="204" customFormat="1" ht="29.25" customHeight="1">
      <c r="A59" s="196"/>
      <c r="B59" s="197" t="s">
        <v>68</v>
      </c>
      <c r="C59" s="215" t="s">
        <v>69</v>
      </c>
      <c r="D59" s="198"/>
      <c r="E59" s="199"/>
      <c r="F59" s="199"/>
      <c r="G59" s="200"/>
      <c r="H59" s="201"/>
      <c r="I59" s="216">
        <f>SUM(I26:I58)</f>
        <v>0</v>
      </c>
      <c r="J59" s="217"/>
      <c r="K59" s="217">
        <f>SUM(K26:K58)</f>
        <v>30.302625</v>
      </c>
      <c r="L59" s="85"/>
      <c r="M59" s="85"/>
      <c r="N59" s="202"/>
      <c r="O59" s="203"/>
      <c r="P59" s="203"/>
      <c r="Q59" s="203"/>
      <c r="R59" s="203"/>
      <c r="S59" s="203"/>
      <c r="T59" s="203"/>
    </row>
    <row r="60" spans="1:20" s="204" customFormat="1" ht="36.75" customHeight="1">
      <c r="A60" s="196" t="s">
        <v>95</v>
      </c>
      <c r="B60" s="237" t="s">
        <v>1038</v>
      </c>
      <c r="C60" s="711" t="s">
        <v>1039</v>
      </c>
      <c r="D60" s="712" t="s">
        <v>73</v>
      </c>
      <c r="E60" s="713">
        <f>K59</f>
        <v>30.302625</v>
      </c>
      <c r="F60" s="199"/>
      <c r="G60" s="200">
        <f>E60*F60</f>
        <v>0</v>
      </c>
      <c r="H60" s="85"/>
      <c r="I60" s="85"/>
      <c r="J60" s="201"/>
      <c r="K60" s="201"/>
      <c r="L60" s="85"/>
      <c r="M60" s="85"/>
      <c r="N60" s="202"/>
      <c r="O60" s="203"/>
      <c r="P60" s="203"/>
      <c r="Q60" s="203"/>
      <c r="R60" s="203"/>
      <c r="S60" s="203"/>
      <c r="T60" s="203"/>
    </row>
    <row r="61" spans="1:20" s="204" customFormat="1" ht="22.5" customHeight="1">
      <c r="A61" s="196" t="s">
        <v>103</v>
      </c>
      <c r="B61" s="197" t="s">
        <v>71</v>
      </c>
      <c r="C61" s="136" t="s">
        <v>72</v>
      </c>
      <c r="D61" s="198" t="s">
        <v>73</v>
      </c>
      <c r="E61" s="199">
        <f>E60</f>
        <v>30.302625</v>
      </c>
      <c r="F61" s="199"/>
      <c r="G61" s="200">
        <f>E61*F61</f>
        <v>0</v>
      </c>
      <c r="H61" s="85"/>
      <c r="I61" s="85"/>
      <c r="J61" s="201"/>
      <c r="K61" s="201"/>
      <c r="L61" s="85"/>
      <c r="M61" s="85"/>
      <c r="N61" s="202"/>
      <c r="O61" s="203"/>
      <c r="P61" s="203"/>
      <c r="Q61" s="203"/>
      <c r="R61" s="203"/>
      <c r="S61" s="203"/>
      <c r="T61" s="203"/>
    </row>
    <row r="62" spans="1:20" s="214" customFormat="1" ht="36.75" customHeight="1">
      <c r="A62" s="196" t="s">
        <v>107</v>
      </c>
      <c r="B62" s="237" t="s">
        <v>75</v>
      </c>
      <c r="C62" s="711" t="s">
        <v>1040</v>
      </c>
      <c r="D62" s="714" t="s">
        <v>73</v>
      </c>
      <c r="E62" s="713">
        <f>E60</f>
        <v>30.302625</v>
      </c>
      <c r="F62" s="199"/>
      <c r="G62" s="200">
        <f>E62*F62</f>
        <v>0</v>
      </c>
      <c r="H62" s="211"/>
      <c r="I62" s="85"/>
      <c r="J62" s="210"/>
      <c r="K62" s="210"/>
      <c r="L62" s="211"/>
      <c r="M62" s="211"/>
      <c r="N62" s="212"/>
      <c r="O62" s="213"/>
      <c r="P62" s="213"/>
      <c r="Q62" s="213"/>
      <c r="R62" s="213"/>
      <c r="S62" s="213"/>
      <c r="T62" s="213"/>
    </row>
    <row r="63" spans="1:20" s="204" customFormat="1" ht="29.25" customHeight="1">
      <c r="A63" s="196" t="s">
        <v>1358</v>
      </c>
      <c r="B63" s="237" t="s">
        <v>78</v>
      </c>
      <c r="C63" s="711" t="s">
        <v>1051</v>
      </c>
      <c r="D63" s="712" t="s">
        <v>73</v>
      </c>
      <c r="E63" s="713">
        <f>SUM(D64)</f>
        <v>303</v>
      </c>
      <c r="F63" s="199"/>
      <c r="G63" s="200">
        <f>E63*F63</f>
        <v>0</v>
      </c>
      <c r="H63" s="85"/>
      <c r="I63" s="85"/>
      <c r="J63" s="201"/>
      <c r="K63" s="201"/>
      <c r="L63" s="85"/>
      <c r="M63" s="85"/>
      <c r="N63" s="202"/>
      <c r="O63" s="203"/>
      <c r="P63" s="203"/>
      <c r="Q63" s="203"/>
      <c r="R63" s="203"/>
      <c r="S63" s="203"/>
      <c r="T63" s="203"/>
    </row>
    <row r="64" spans="1:20" s="214" customFormat="1" ht="15" customHeight="1">
      <c r="A64" s="196"/>
      <c r="B64" s="205"/>
      <c r="C64" s="206" t="s">
        <v>2337</v>
      </c>
      <c r="D64" s="207">
        <f>30.3*10</f>
        <v>303</v>
      </c>
      <c r="E64" s="208"/>
      <c r="F64" s="208"/>
      <c r="G64" s="209"/>
      <c r="H64" s="211"/>
      <c r="I64" s="85"/>
      <c r="J64" s="210"/>
      <c r="K64" s="210"/>
      <c r="L64" s="211"/>
      <c r="M64" s="211"/>
      <c r="N64" s="212"/>
      <c r="O64" s="213"/>
      <c r="P64" s="213"/>
      <c r="Q64" s="213"/>
      <c r="R64" s="213"/>
      <c r="S64" s="213"/>
      <c r="T64" s="213"/>
    </row>
    <row r="65" spans="1:20" s="214" customFormat="1" ht="30" customHeight="1">
      <c r="A65" s="196" t="s">
        <v>1359</v>
      </c>
      <c r="B65" s="237" t="s">
        <v>1041</v>
      </c>
      <c r="C65" s="711" t="s">
        <v>1042</v>
      </c>
      <c r="D65" s="714" t="s">
        <v>73</v>
      </c>
      <c r="E65" s="713">
        <f>K33+K38+K37+K41+K57</f>
        <v>11.547693000000002</v>
      </c>
      <c r="F65" s="199"/>
      <c r="G65" s="200">
        <f>E65*F65</f>
        <v>0</v>
      </c>
      <c r="H65" s="211"/>
      <c r="I65" s="85"/>
      <c r="J65" s="210"/>
      <c r="K65" s="210"/>
      <c r="L65" s="211"/>
      <c r="M65" s="211"/>
      <c r="N65" s="212"/>
      <c r="O65" s="213"/>
      <c r="P65" s="213"/>
      <c r="Q65" s="213"/>
      <c r="R65" s="213"/>
      <c r="S65" s="213"/>
      <c r="T65" s="213"/>
    </row>
    <row r="66" spans="1:20" s="204" customFormat="1" ht="29.25" customHeight="1">
      <c r="A66" s="196" t="s">
        <v>1360</v>
      </c>
      <c r="B66" s="197">
        <v>997221861</v>
      </c>
      <c r="C66" s="136" t="s">
        <v>1052</v>
      </c>
      <c r="D66" s="198" t="s">
        <v>73</v>
      </c>
      <c r="E66" s="199">
        <f>K49</f>
        <v>2.178</v>
      </c>
      <c r="F66" s="199"/>
      <c r="G66" s="200">
        <f>E66*F66</f>
        <v>0</v>
      </c>
      <c r="H66" s="85"/>
      <c r="I66" s="85"/>
      <c r="J66" s="201"/>
      <c r="K66" s="201"/>
      <c r="L66" s="85"/>
      <c r="M66" s="85"/>
      <c r="N66" s="202"/>
      <c r="O66" s="203"/>
      <c r="P66" s="203"/>
      <c r="Q66" s="203"/>
      <c r="R66" s="203"/>
      <c r="S66" s="203"/>
      <c r="T66" s="203"/>
    </row>
    <row r="67" spans="1:20" s="204" customFormat="1" ht="29.25" customHeight="1">
      <c r="A67" s="196" t="s">
        <v>1361</v>
      </c>
      <c r="B67" s="197">
        <v>997221862</v>
      </c>
      <c r="C67" s="136" t="s">
        <v>81</v>
      </c>
      <c r="D67" s="198" t="s">
        <v>73</v>
      </c>
      <c r="E67" s="199">
        <f>K50+K52</f>
        <v>5.43048</v>
      </c>
      <c r="F67" s="199"/>
      <c r="G67" s="200">
        <f>E67*F67</f>
        <v>0</v>
      </c>
      <c r="H67" s="85"/>
      <c r="I67" s="85"/>
      <c r="J67" s="201"/>
      <c r="K67" s="201"/>
      <c r="L67" s="85"/>
      <c r="M67" s="85"/>
      <c r="N67" s="202"/>
      <c r="O67" s="203"/>
      <c r="P67" s="203"/>
      <c r="Q67" s="203"/>
      <c r="R67" s="203"/>
      <c r="S67" s="203"/>
      <c r="T67" s="203"/>
    </row>
    <row r="68" spans="1:20" s="204" customFormat="1" ht="29.25" customHeight="1">
      <c r="A68" s="196" t="s">
        <v>1362</v>
      </c>
      <c r="B68" s="197">
        <v>997013871</v>
      </c>
      <c r="C68" s="136" t="s">
        <v>1064</v>
      </c>
      <c r="D68" s="198" t="s">
        <v>73</v>
      </c>
      <c r="E68" s="199">
        <f>K27+K28+K29+K35+K45</f>
        <v>1.861052</v>
      </c>
      <c r="F68" s="199"/>
      <c r="G68" s="200">
        <f>$E68*F68</f>
        <v>0</v>
      </c>
      <c r="H68" s="85"/>
      <c r="I68" s="85"/>
      <c r="J68" s="201"/>
      <c r="K68" s="201"/>
      <c r="L68" s="85"/>
      <c r="M68" s="85"/>
      <c r="N68" s="202"/>
      <c r="O68" s="203"/>
      <c r="P68" s="203"/>
      <c r="Q68" s="203"/>
      <c r="R68" s="203"/>
      <c r="S68" s="203"/>
      <c r="T68" s="203"/>
    </row>
    <row r="69" spans="1:20" s="204" customFormat="1" ht="34.5" customHeight="1">
      <c r="A69" s="196" t="s">
        <v>1363</v>
      </c>
      <c r="B69" s="237" t="s">
        <v>1043</v>
      </c>
      <c r="C69" s="711" t="s">
        <v>1044</v>
      </c>
      <c r="D69" s="712" t="s">
        <v>73</v>
      </c>
      <c r="E69" s="713">
        <f>K31+K43</f>
        <v>0.456</v>
      </c>
      <c r="F69" s="199"/>
      <c r="G69" s="200">
        <f>E69*F69</f>
        <v>0</v>
      </c>
      <c r="H69" s="85"/>
      <c r="I69" s="85"/>
      <c r="J69" s="201"/>
      <c r="K69" s="201"/>
      <c r="L69" s="85"/>
      <c r="M69" s="85"/>
      <c r="N69" s="202"/>
      <c r="O69" s="203"/>
      <c r="P69" s="203"/>
      <c r="Q69" s="203"/>
      <c r="R69" s="203"/>
      <c r="S69" s="203"/>
      <c r="T69" s="203"/>
    </row>
    <row r="70" spans="1:20" s="204" customFormat="1" ht="34.5" customHeight="1">
      <c r="A70" s="196" t="s">
        <v>1364</v>
      </c>
      <c r="B70" s="237" t="s">
        <v>1045</v>
      </c>
      <c r="C70" s="711" t="s">
        <v>1046</v>
      </c>
      <c r="D70" s="712" t="s">
        <v>73</v>
      </c>
      <c r="E70" s="713">
        <f>K53</f>
        <v>0.0968</v>
      </c>
      <c r="F70" s="199"/>
      <c r="G70" s="200">
        <f>E70*F70</f>
        <v>0</v>
      </c>
      <c r="H70" s="217"/>
      <c r="I70" s="217"/>
      <c r="J70" s="201"/>
      <c r="K70" s="216"/>
      <c r="L70" s="85"/>
      <c r="M70" s="85"/>
      <c r="N70" s="202"/>
      <c r="O70" s="203"/>
      <c r="P70" s="203"/>
      <c r="Q70" s="203"/>
      <c r="R70" s="203"/>
      <c r="S70" s="203"/>
      <c r="T70" s="203"/>
    </row>
    <row r="71" spans="1:20" s="204" customFormat="1" ht="34.5" customHeight="1">
      <c r="A71" s="196" t="s">
        <v>1365</v>
      </c>
      <c r="B71" s="237" t="s">
        <v>1110</v>
      </c>
      <c r="C71" s="711" t="s">
        <v>1111</v>
      </c>
      <c r="D71" s="712" t="s">
        <v>73</v>
      </c>
      <c r="E71" s="713">
        <f>K48+K39</f>
        <v>3.6506</v>
      </c>
      <c r="F71" s="199"/>
      <c r="G71" s="200">
        <f>E71*F71</f>
        <v>0</v>
      </c>
      <c r="H71" s="217"/>
      <c r="I71" s="217"/>
      <c r="J71" s="201"/>
      <c r="K71" s="216"/>
      <c r="L71" s="85"/>
      <c r="M71" s="85"/>
      <c r="N71" s="202"/>
      <c r="O71" s="203"/>
      <c r="P71" s="203"/>
      <c r="Q71" s="203"/>
      <c r="R71" s="203"/>
      <c r="S71" s="203"/>
      <c r="T71" s="203"/>
    </row>
    <row r="72" spans="1:20" s="204" customFormat="1" ht="34.5" customHeight="1">
      <c r="A72" s="196" t="s">
        <v>1366</v>
      </c>
      <c r="B72" s="237">
        <v>997013873</v>
      </c>
      <c r="C72" s="711" t="s">
        <v>1394</v>
      </c>
      <c r="D72" s="712" t="s">
        <v>73</v>
      </c>
      <c r="E72" s="713">
        <f>K54</f>
        <v>5.082</v>
      </c>
      <c r="F72" s="199"/>
      <c r="G72" s="200">
        <f>E72*F72</f>
        <v>0</v>
      </c>
      <c r="H72" s="217"/>
      <c r="I72" s="217"/>
      <c r="J72" s="201"/>
      <c r="K72" s="216"/>
      <c r="L72" s="85"/>
      <c r="M72" s="85"/>
      <c r="N72" s="202"/>
      <c r="O72" s="203"/>
      <c r="P72" s="203"/>
      <c r="Q72" s="203"/>
      <c r="R72" s="203"/>
      <c r="S72" s="203"/>
      <c r="T72" s="203"/>
    </row>
    <row r="73" spans="1:20" s="204" customFormat="1" ht="12" customHeight="1">
      <c r="A73" s="196"/>
      <c r="B73" s="197"/>
      <c r="C73" s="136"/>
      <c r="D73" s="198"/>
      <c r="E73" s="199"/>
      <c r="F73" s="199"/>
      <c r="G73" s="200"/>
      <c r="H73" s="201"/>
      <c r="I73" s="201"/>
      <c r="J73" s="85"/>
      <c r="K73" s="85"/>
      <c r="L73" s="85"/>
      <c r="M73" s="85"/>
      <c r="N73" s="202"/>
      <c r="O73" s="203"/>
      <c r="P73" s="203"/>
      <c r="Q73" s="203"/>
      <c r="R73" s="203"/>
      <c r="S73" s="203"/>
      <c r="T73" s="203"/>
    </row>
    <row r="74" spans="1:20" s="204" customFormat="1" ht="29.25" customHeight="1">
      <c r="A74" s="196" t="s">
        <v>1367</v>
      </c>
      <c r="B74" s="197" t="s">
        <v>86</v>
      </c>
      <c r="C74" s="136" t="s">
        <v>87</v>
      </c>
      <c r="D74" s="198" t="s">
        <v>52</v>
      </c>
      <c r="E74" s="199">
        <f>SUM(D75)</f>
        <v>5.4025</v>
      </c>
      <c r="F74" s="199"/>
      <c r="G74" s="200">
        <f>E74*F74</f>
        <v>0</v>
      </c>
      <c r="H74" s="201">
        <v>0</v>
      </c>
      <c r="I74" s="201">
        <f>E74*H74</f>
        <v>0</v>
      </c>
      <c r="J74" s="85">
        <v>0</v>
      </c>
      <c r="K74" s="85">
        <f>E74*J74</f>
        <v>0</v>
      </c>
      <c r="L74" s="85"/>
      <c r="M74" s="85"/>
      <c r="N74" s="202"/>
      <c r="O74" s="203"/>
      <c r="P74" s="203"/>
      <c r="Q74" s="203"/>
      <c r="R74" s="203"/>
      <c r="S74" s="203"/>
      <c r="T74" s="203"/>
    </row>
    <row r="75" spans="1:20" s="214" customFormat="1" ht="15" customHeight="1">
      <c r="A75" s="196"/>
      <c r="B75" s="205"/>
      <c r="C75" s="206" t="s">
        <v>88</v>
      </c>
      <c r="D75" s="207">
        <f>22.1*0.125+8*3.3*0.1</f>
        <v>5.4025</v>
      </c>
      <c r="E75" s="208"/>
      <c r="F75" s="208"/>
      <c r="G75" s="209"/>
      <c r="H75" s="210"/>
      <c r="I75" s="210"/>
      <c r="J75" s="211"/>
      <c r="K75" s="85"/>
      <c r="L75" s="211"/>
      <c r="M75" s="211"/>
      <c r="N75" s="212"/>
      <c r="O75" s="213"/>
      <c r="P75" s="213"/>
      <c r="Q75" s="213"/>
      <c r="R75" s="213"/>
      <c r="S75" s="213"/>
      <c r="T75" s="213"/>
    </row>
    <row r="76" spans="1:20" s="204" customFormat="1" ht="33.75" customHeight="1">
      <c r="A76" s="196" t="s">
        <v>1368</v>
      </c>
      <c r="B76" s="197" t="s">
        <v>90</v>
      </c>
      <c r="C76" s="136" t="s">
        <v>1395</v>
      </c>
      <c r="D76" s="198" t="s">
        <v>52</v>
      </c>
      <c r="E76" s="199">
        <v>5.4</v>
      </c>
      <c r="F76" s="199"/>
      <c r="G76" s="200">
        <f aca="true" t="shared" si="0" ref="G76:G81">E76*F76</f>
        <v>0</v>
      </c>
      <c r="H76" s="201">
        <v>0</v>
      </c>
      <c r="I76" s="201">
        <f>E76*H76</f>
        <v>0</v>
      </c>
      <c r="J76" s="85">
        <v>0</v>
      </c>
      <c r="K76" s="85">
        <f>E76*J76</f>
        <v>0</v>
      </c>
      <c r="L76" s="85"/>
      <c r="M76" s="85"/>
      <c r="N76" s="202"/>
      <c r="O76" s="203"/>
      <c r="P76" s="203"/>
      <c r="Q76" s="203"/>
      <c r="R76" s="203"/>
      <c r="S76" s="203"/>
      <c r="T76" s="203"/>
    </row>
    <row r="77" spans="1:20" s="204" customFormat="1" ht="32.25" customHeight="1">
      <c r="A77" s="196" t="s">
        <v>1369</v>
      </c>
      <c r="B77" s="197" t="s">
        <v>92</v>
      </c>
      <c r="C77" s="136" t="s">
        <v>1396</v>
      </c>
      <c r="D77" s="198" t="s">
        <v>52</v>
      </c>
      <c r="E77" s="199">
        <v>10.8</v>
      </c>
      <c r="F77" s="199"/>
      <c r="G77" s="200">
        <f t="shared" si="0"/>
        <v>0</v>
      </c>
      <c r="H77" s="201">
        <v>0</v>
      </c>
      <c r="I77" s="201">
        <f>E77*H77</f>
        <v>0</v>
      </c>
      <c r="J77" s="85">
        <v>0</v>
      </c>
      <c r="K77" s="85">
        <f>E77*J77</f>
        <v>0</v>
      </c>
      <c r="L77" s="85"/>
      <c r="M77" s="85"/>
      <c r="N77" s="202"/>
      <c r="O77" s="203"/>
      <c r="P77" s="203"/>
      <c r="Q77" s="203"/>
      <c r="R77" s="203"/>
      <c r="S77" s="203"/>
      <c r="T77" s="203"/>
    </row>
    <row r="78" spans="1:20" s="204" customFormat="1" ht="29.25" customHeight="1">
      <c r="A78" s="196" t="s">
        <v>1370</v>
      </c>
      <c r="B78" s="197" t="s">
        <v>94</v>
      </c>
      <c r="C78" s="136" t="s">
        <v>1397</v>
      </c>
      <c r="D78" s="198" t="s">
        <v>52</v>
      </c>
      <c r="E78" s="199">
        <v>5.4</v>
      </c>
      <c r="F78" s="199"/>
      <c r="G78" s="200">
        <f t="shared" si="0"/>
        <v>0</v>
      </c>
      <c r="H78" s="201">
        <v>0</v>
      </c>
      <c r="I78" s="201">
        <f>E78*H78</f>
        <v>0</v>
      </c>
      <c r="J78" s="85">
        <v>0</v>
      </c>
      <c r="K78" s="85">
        <f>E78*J78</f>
        <v>0</v>
      </c>
      <c r="L78" s="85"/>
      <c r="M78" s="85"/>
      <c r="N78" s="202"/>
      <c r="O78" s="203"/>
      <c r="P78" s="203"/>
      <c r="Q78" s="203"/>
      <c r="R78" s="203"/>
      <c r="S78" s="203"/>
      <c r="T78" s="203"/>
    </row>
    <row r="79" spans="1:62" s="204" customFormat="1" ht="29.25" customHeight="1">
      <c r="A79" s="196" t="s">
        <v>1371</v>
      </c>
      <c r="B79" s="197" t="s">
        <v>96</v>
      </c>
      <c r="C79" s="136" t="s">
        <v>97</v>
      </c>
      <c r="D79" s="198" t="s">
        <v>52</v>
      </c>
      <c r="E79" s="199">
        <f>E78</f>
        <v>5.4</v>
      </c>
      <c r="F79" s="199"/>
      <c r="G79" s="200">
        <f t="shared" si="0"/>
        <v>0</v>
      </c>
      <c r="H79" s="201"/>
      <c r="I79" s="201"/>
      <c r="J79" s="85"/>
      <c r="K79" s="85"/>
      <c r="L79" s="85"/>
      <c r="M79" s="85"/>
      <c r="N79" s="202"/>
      <c r="O79" s="203"/>
      <c r="P79" s="203"/>
      <c r="Q79" s="203"/>
      <c r="R79" s="203"/>
      <c r="S79" s="203"/>
      <c r="T79" s="203"/>
      <c r="AO79" s="204" t="s">
        <v>98</v>
      </c>
      <c r="AQ79" s="204" t="s">
        <v>99</v>
      </c>
      <c r="AR79" s="204" t="s">
        <v>100</v>
      </c>
      <c r="AV79" s="204" t="s">
        <v>101</v>
      </c>
      <c r="BB79" s="204">
        <f>IF(K79="základní",G79,0)</f>
        <v>0</v>
      </c>
      <c r="BC79" s="204">
        <f>IF(K79="snížená",G79,0)</f>
        <v>0</v>
      </c>
      <c r="BD79" s="204">
        <f>IF(K79="zákl. přenesená",G79,0)</f>
        <v>0</v>
      </c>
      <c r="BE79" s="204">
        <f>IF(K79="sníž. přenesená",G79,0)</f>
        <v>0</v>
      </c>
      <c r="BF79" s="204">
        <f>IF(K79="nulová",G79,0)</f>
        <v>0</v>
      </c>
      <c r="BG79" s="204" t="s">
        <v>43</v>
      </c>
      <c r="BH79" s="204">
        <f>ROUND(F79*E79,2)</f>
        <v>0</v>
      </c>
      <c r="BI79" s="204" t="s">
        <v>98</v>
      </c>
      <c r="BJ79" s="204" t="s">
        <v>102</v>
      </c>
    </row>
    <row r="80" spans="1:62" s="204" customFormat="1" ht="18" customHeight="1">
      <c r="A80" s="196" t="s">
        <v>1372</v>
      </c>
      <c r="B80" s="197" t="s">
        <v>104</v>
      </c>
      <c r="C80" s="136" t="s">
        <v>105</v>
      </c>
      <c r="D80" s="198" t="s">
        <v>52</v>
      </c>
      <c r="E80" s="199">
        <f>E79</f>
        <v>5.4</v>
      </c>
      <c r="F80" s="199"/>
      <c r="G80" s="200">
        <f t="shared" si="0"/>
        <v>0</v>
      </c>
      <c r="H80" s="201">
        <v>0</v>
      </c>
      <c r="I80" s="201">
        <f>E80*H80</f>
        <v>0</v>
      </c>
      <c r="J80" s="85">
        <v>0</v>
      </c>
      <c r="K80" s="85">
        <f>E80*J80</f>
        <v>0</v>
      </c>
      <c r="L80" s="85"/>
      <c r="M80" s="85"/>
      <c r="N80" s="202"/>
      <c r="O80" s="203"/>
      <c r="P80" s="203"/>
      <c r="Q80" s="203"/>
      <c r="R80" s="203"/>
      <c r="S80" s="203"/>
      <c r="T80" s="203"/>
      <c r="AO80" s="204" t="s">
        <v>98</v>
      </c>
      <c r="AQ80" s="204" t="s">
        <v>99</v>
      </c>
      <c r="AR80" s="204" t="s">
        <v>100</v>
      </c>
      <c r="AV80" s="204" t="s">
        <v>101</v>
      </c>
      <c r="BB80" s="204">
        <f>IF(K80="základní",G80,0)</f>
        <v>0</v>
      </c>
      <c r="BC80" s="204">
        <f>IF(K80="snížená",G80,0)</f>
        <v>0</v>
      </c>
      <c r="BD80" s="204">
        <f>IF(K80="zákl. přenesená",G80,0)</f>
        <v>0</v>
      </c>
      <c r="BE80" s="204">
        <f>IF(K80="sníž. přenesená",G80,0)</f>
        <v>0</v>
      </c>
      <c r="BF80" s="204">
        <f>IF(K80="nulová",G80,0)</f>
        <v>0</v>
      </c>
      <c r="BG80" s="204" t="s">
        <v>43</v>
      </c>
      <c r="BH80" s="204">
        <f>ROUND(F80*E80,2)</f>
        <v>0</v>
      </c>
      <c r="BI80" s="204" t="s">
        <v>98</v>
      </c>
      <c r="BJ80" s="204" t="s">
        <v>106</v>
      </c>
    </row>
    <row r="81" spans="1:62" s="204" customFormat="1" ht="29.25" customHeight="1">
      <c r="A81" s="196" t="s">
        <v>1648</v>
      </c>
      <c r="B81" s="197" t="s">
        <v>108</v>
      </c>
      <c r="C81" s="136" t="s">
        <v>1398</v>
      </c>
      <c r="D81" s="198" t="s">
        <v>73</v>
      </c>
      <c r="E81" s="199">
        <f>SUM(D82)</f>
        <v>9.72</v>
      </c>
      <c r="F81" s="199"/>
      <c r="G81" s="200">
        <f t="shared" si="0"/>
        <v>0</v>
      </c>
      <c r="H81" s="201">
        <v>0</v>
      </c>
      <c r="I81" s="201">
        <f>E81*H81</f>
        <v>0</v>
      </c>
      <c r="J81" s="85">
        <v>0</v>
      </c>
      <c r="K81" s="85">
        <f>E81*J81</f>
        <v>0</v>
      </c>
      <c r="L81" s="85"/>
      <c r="M81" s="85"/>
      <c r="N81" s="202"/>
      <c r="O81" s="203"/>
      <c r="P81" s="203"/>
      <c r="Q81" s="203"/>
      <c r="R81" s="203"/>
      <c r="S81" s="203"/>
      <c r="T81" s="203"/>
      <c r="AO81" s="204" t="s">
        <v>98</v>
      </c>
      <c r="AQ81" s="204" t="s">
        <v>99</v>
      </c>
      <c r="AR81" s="204" t="s">
        <v>100</v>
      </c>
      <c r="AV81" s="204" t="s">
        <v>101</v>
      </c>
      <c r="BB81" s="204">
        <f>IF(K81="základní",G81,0)</f>
        <v>0</v>
      </c>
      <c r="BC81" s="204">
        <f>IF(K81="snížená",G81,0)</f>
        <v>0</v>
      </c>
      <c r="BD81" s="204">
        <f>IF(K81="zákl. přenesená",G81,0)</f>
        <v>0</v>
      </c>
      <c r="BE81" s="204">
        <f>IF(K81="sníž. přenesená",G81,0)</f>
        <v>0</v>
      </c>
      <c r="BF81" s="204">
        <f>IF(K81="nulová",G81,0)</f>
        <v>0</v>
      </c>
      <c r="BG81" s="204" t="s">
        <v>43</v>
      </c>
      <c r="BH81" s="204">
        <f>ROUND(F81*E81,2)</f>
        <v>0</v>
      </c>
      <c r="BI81" s="204" t="s">
        <v>98</v>
      </c>
      <c r="BJ81" s="204" t="s">
        <v>109</v>
      </c>
    </row>
    <row r="82" spans="1:48" s="214" customFormat="1" ht="15" customHeight="1">
      <c r="A82" s="196"/>
      <c r="B82" s="205"/>
      <c r="C82" s="206" t="s">
        <v>1399</v>
      </c>
      <c r="D82" s="207">
        <f>5.4*1.8</f>
        <v>9.72</v>
      </c>
      <c r="E82" s="208"/>
      <c r="F82" s="208"/>
      <c r="G82" s="209"/>
      <c r="H82" s="210"/>
      <c r="I82" s="210"/>
      <c r="J82" s="211"/>
      <c r="K82" s="85"/>
      <c r="L82" s="211"/>
      <c r="M82" s="211"/>
      <c r="N82" s="212"/>
      <c r="O82" s="213"/>
      <c r="P82" s="213"/>
      <c r="Q82" s="213"/>
      <c r="R82" s="213"/>
      <c r="S82" s="213"/>
      <c r="T82" s="213"/>
      <c r="AQ82" s="214" t="s">
        <v>110</v>
      </c>
      <c r="AR82" s="214" t="s">
        <v>100</v>
      </c>
      <c r="AS82" s="214" t="s">
        <v>100</v>
      </c>
      <c r="AT82" s="214" t="s">
        <v>111</v>
      </c>
      <c r="AU82" s="214" t="s">
        <v>112</v>
      </c>
      <c r="AV82" s="214" t="s">
        <v>101</v>
      </c>
    </row>
    <row r="83" spans="1:20" s="204" customFormat="1" ht="14" thickBot="1">
      <c r="A83" s="286"/>
      <c r="B83" s="219"/>
      <c r="C83" s="220"/>
      <c r="D83" s="221"/>
      <c r="E83" s="223"/>
      <c r="F83" s="223"/>
      <c r="G83" s="287"/>
      <c r="H83" s="85"/>
      <c r="I83" s="85"/>
      <c r="J83" s="85"/>
      <c r="K83" s="85"/>
      <c r="L83" s="85"/>
      <c r="M83" s="85"/>
      <c r="N83" s="202"/>
      <c r="O83" s="203"/>
      <c r="P83" s="203"/>
      <c r="Q83" s="203"/>
      <c r="R83" s="203"/>
      <c r="S83" s="203"/>
      <c r="T83" s="203"/>
    </row>
    <row r="84" spans="1:7" ht="19.5" customHeight="1" thickBot="1">
      <c r="A84" s="225"/>
      <c r="B84" s="226"/>
      <c r="C84" s="227" t="s">
        <v>113</v>
      </c>
      <c r="D84" s="226"/>
      <c r="E84" s="228"/>
      <c r="F84" s="229"/>
      <c r="G84" s="230">
        <f>SUBTOTAL(9,G26:G83)</f>
        <v>0</v>
      </c>
    </row>
    <row r="85" spans="1:7" ht="13" thickBot="1">
      <c r="A85" s="179"/>
      <c r="B85" s="180"/>
      <c r="C85" s="180"/>
      <c r="D85" s="180"/>
      <c r="E85" s="180"/>
      <c r="F85" s="180"/>
      <c r="G85" s="181"/>
    </row>
    <row r="86" spans="1:7" ht="17.25" customHeight="1" thickBot="1">
      <c r="A86" s="182" t="s">
        <v>100</v>
      </c>
      <c r="B86" s="183"/>
      <c r="C86" s="184" t="s">
        <v>1185</v>
      </c>
      <c r="D86" s="185"/>
      <c r="E86" s="186"/>
      <c r="F86" s="187"/>
      <c r="G86" s="188"/>
    </row>
    <row r="87" spans="1:7" ht="12.75">
      <c r="A87" s="189"/>
      <c r="B87" s="231"/>
      <c r="C87" s="232"/>
      <c r="D87" s="233"/>
      <c r="E87" s="234"/>
      <c r="F87" s="235"/>
      <c r="G87" s="236"/>
    </row>
    <row r="88" spans="1:20" s="204" customFormat="1" ht="24" customHeight="1">
      <c r="A88" s="268" t="s">
        <v>115</v>
      </c>
      <c r="B88" s="197" t="s">
        <v>1404</v>
      </c>
      <c r="C88" s="136" t="s">
        <v>1405</v>
      </c>
      <c r="D88" s="198" t="s">
        <v>52</v>
      </c>
      <c r="E88" s="199">
        <f>SUM(D89)</f>
        <v>2.42</v>
      </c>
      <c r="F88" s="199"/>
      <c r="G88" s="240">
        <f>$E88*F88</f>
        <v>0</v>
      </c>
      <c r="H88" s="201">
        <v>2.16</v>
      </c>
      <c r="I88" s="242">
        <f>E88*H88</f>
        <v>5.2272</v>
      </c>
      <c r="J88" s="243">
        <v>0</v>
      </c>
      <c r="K88" s="241">
        <f>E88*J88</f>
        <v>0</v>
      </c>
      <c r="L88" s="85"/>
      <c r="M88" s="85"/>
      <c r="N88" s="202"/>
      <c r="O88" s="203"/>
      <c r="P88" s="203"/>
      <c r="Q88" s="203"/>
      <c r="R88" s="203"/>
      <c r="S88" s="203"/>
      <c r="T88" s="203"/>
    </row>
    <row r="89" spans="1:20" s="214" customFormat="1" ht="15" customHeight="1">
      <c r="A89" s="196"/>
      <c r="B89" s="205"/>
      <c r="C89" s="206" t="s">
        <v>1391</v>
      </c>
      <c r="D89" s="207">
        <f>24.2*0.1</f>
        <v>2.42</v>
      </c>
      <c r="E89" s="208"/>
      <c r="F89" s="208"/>
      <c r="G89" s="209"/>
      <c r="H89" s="210"/>
      <c r="I89" s="210"/>
      <c r="J89" s="211"/>
      <c r="K89" s="85"/>
      <c r="L89" s="211"/>
      <c r="M89" s="211"/>
      <c r="N89" s="212"/>
      <c r="O89" s="213"/>
      <c r="P89" s="213"/>
      <c r="Q89" s="213"/>
      <c r="R89" s="213"/>
      <c r="S89" s="213"/>
      <c r="T89" s="213"/>
    </row>
    <row r="90" spans="1:20" s="204" customFormat="1" ht="24" customHeight="1">
      <c r="A90" s="268" t="s">
        <v>117</v>
      </c>
      <c r="B90" s="197" t="s">
        <v>1406</v>
      </c>
      <c r="C90" s="136" t="s">
        <v>1407</v>
      </c>
      <c r="D90" s="198" t="s">
        <v>46</v>
      </c>
      <c r="E90" s="199">
        <f>SUM(D91)</f>
        <v>26.62</v>
      </c>
      <c r="F90" s="199"/>
      <c r="G90" s="240">
        <f>$E90*F90</f>
        <v>0</v>
      </c>
      <c r="H90" s="201">
        <v>0.0001</v>
      </c>
      <c r="I90" s="242">
        <f>E90*H90</f>
        <v>0.0026620000000000003</v>
      </c>
      <c r="J90" s="243">
        <v>0</v>
      </c>
      <c r="K90" s="241">
        <f>E90*J90</f>
        <v>0</v>
      </c>
      <c r="L90" s="85"/>
      <c r="M90" s="85"/>
      <c r="N90" s="202"/>
      <c r="O90" s="203"/>
      <c r="P90" s="203"/>
      <c r="Q90" s="203"/>
      <c r="R90" s="203"/>
      <c r="S90" s="203"/>
      <c r="T90" s="203"/>
    </row>
    <row r="91" spans="1:20" s="214" customFormat="1" ht="15" customHeight="1">
      <c r="A91" s="196"/>
      <c r="B91" s="205"/>
      <c r="C91" s="206" t="s">
        <v>1432</v>
      </c>
      <c r="D91" s="207">
        <f>24.2*1.1</f>
        <v>26.62</v>
      </c>
      <c r="E91" s="208"/>
      <c r="F91" s="208"/>
      <c r="G91" s="209"/>
      <c r="H91" s="210"/>
      <c r="I91" s="210"/>
      <c r="J91" s="211"/>
      <c r="K91" s="85"/>
      <c r="L91" s="211"/>
      <c r="M91" s="211"/>
      <c r="N91" s="212"/>
      <c r="O91" s="213"/>
      <c r="P91" s="213"/>
      <c r="Q91" s="213"/>
      <c r="R91" s="213"/>
      <c r="S91" s="213"/>
      <c r="T91" s="213"/>
    </row>
    <row r="92" spans="1:20" s="204" customFormat="1" ht="24" customHeight="1">
      <c r="A92" s="268" t="s">
        <v>119</v>
      </c>
      <c r="B92" s="197" t="s">
        <v>1408</v>
      </c>
      <c r="C92" s="136" t="s">
        <v>1409</v>
      </c>
      <c r="D92" s="198" t="s">
        <v>46</v>
      </c>
      <c r="E92" s="199">
        <f>SUM(D93)</f>
        <v>27.83</v>
      </c>
      <c r="F92" s="199"/>
      <c r="G92" s="240">
        <f>$E92*F92</f>
        <v>0</v>
      </c>
      <c r="H92" s="201">
        <v>0.00029625</v>
      </c>
      <c r="I92" s="242">
        <f>E92*H92</f>
        <v>0.0082446375</v>
      </c>
      <c r="J92" s="243">
        <v>0</v>
      </c>
      <c r="K92" s="241">
        <f>E92*J92</f>
        <v>0</v>
      </c>
      <c r="L92" s="85"/>
      <c r="M92" s="85"/>
      <c r="N92" s="202"/>
      <c r="O92" s="203"/>
      <c r="P92" s="203"/>
      <c r="Q92" s="203"/>
      <c r="R92" s="203"/>
      <c r="S92" s="203"/>
      <c r="T92" s="203"/>
    </row>
    <row r="93" spans="1:20" s="214" customFormat="1" ht="15" customHeight="1">
      <c r="A93" s="196"/>
      <c r="B93" s="205"/>
      <c r="C93" s="206" t="s">
        <v>1433</v>
      </c>
      <c r="D93" s="207">
        <f>24.2*1.15</f>
        <v>27.83</v>
      </c>
      <c r="E93" s="208"/>
      <c r="F93" s="208"/>
      <c r="G93" s="209"/>
      <c r="H93" s="210"/>
      <c r="I93" s="210"/>
      <c r="J93" s="211"/>
      <c r="K93" s="85"/>
      <c r="L93" s="211"/>
      <c r="M93" s="211"/>
      <c r="N93" s="212"/>
      <c r="O93" s="213"/>
      <c r="P93" s="213"/>
      <c r="Q93" s="213"/>
      <c r="R93" s="213"/>
      <c r="S93" s="213"/>
      <c r="T93" s="213"/>
    </row>
    <row r="94" spans="1:20" s="204" customFormat="1" ht="30" customHeight="1">
      <c r="A94" s="268" t="s">
        <v>295</v>
      </c>
      <c r="B94" s="197" t="s">
        <v>1410</v>
      </c>
      <c r="C94" s="136" t="s">
        <v>1434</v>
      </c>
      <c r="D94" s="198" t="s">
        <v>52</v>
      </c>
      <c r="E94" s="199">
        <f>SUM(D95)</f>
        <v>2.42</v>
      </c>
      <c r="F94" s="199"/>
      <c r="G94" s="240">
        <f>$E94*F94</f>
        <v>0</v>
      </c>
      <c r="H94" s="201">
        <v>2.45329</v>
      </c>
      <c r="I94" s="242">
        <f>E94*H94</f>
        <v>5.9369618</v>
      </c>
      <c r="J94" s="243">
        <v>0</v>
      </c>
      <c r="K94" s="241">
        <f>E94*J94</f>
        <v>0</v>
      </c>
      <c r="L94" s="85"/>
      <c r="M94" s="85"/>
      <c r="N94" s="202"/>
      <c r="O94" s="203"/>
      <c r="P94" s="203"/>
      <c r="Q94" s="203"/>
      <c r="R94" s="203"/>
      <c r="S94" s="203"/>
      <c r="T94" s="203"/>
    </row>
    <row r="95" spans="1:20" s="214" customFormat="1" ht="15" customHeight="1">
      <c r="A95" s="196"/>
      <c r="B95" s="205"/>
      <c r="C95" s="206" t="s">
        <v>1391</v>
      </c>
      <c r="D95" s="207">
        <f>24.2*0.1</f>
        <v>2.42</v>
      </c>
      <c r="E95" s="208"/>
      <c r="F95" s="208"/>
      <c r="G95" s="209"/>
      <c r="H95" s="210"/>
      <c r="I95" s="210"/>
      <c r="J95" s="211"/>
      <c r="K95" s="85"/>
      <c r="L95" s="211"/>
      <c r="M95" s="211"/>
      <c r="N95" s="212"/>
      <c r="O95" s="213"/>
      <c r="P95" s="213"/>
      <c r="Q95" s="213"/>
      <c r="R95" s="213"/>
      <c r="S95" s="213"/>
      <c r="T95" s="213"/>
    </row>
    <row r="96" spans="1:20" s="204" customFormat="1" ht="24" customHeight="1">
      <c r="A96" s="268" t="s">
        <v>299</v>
      </c>
      <c r="B96" s="197" t="s">
        <v>1183</v>
      </c>
      <c r="C96" s="136" t="s">
        <v>1184</v>
      </c>
      <c r="D96" s="198" t="s">
        <v>73</v>
      </c>
      <c r="E96" s="199">
        <f>SUM(D97)</f>
        <v>0.1504272</v>
      </c>
      <c r="F96" s="199"/>
      <c r="G96" s="240">
        <f>$E96*F96</f>
        <v>0</v>
      </c>
      <c r="H96" s="201">
        <v>1.06277</v>
      </c>
      <c r="I96" s="242">
        <f>E96*H96</f>
        <v>0.159869515344</v>
      </c>
      <c r="J96" s="243">
        <v>0</v>
      </c>
      <c r="K96" s="241">
        <f>E96*J96</f>
        <v>0</v>
      </c>
      <c r="L96" s="85"/>
      <c r="M96" s="85"/>
      <c r="N96" s="202"/>
      <c r="O96" s="203"/>
      <c r="P96" s="203"/>
      <c r="Q96" s="203"/>
      <c r="R96" s="203"/>
      <c r="S96" s="203"/>
      <c r="T96" s="203"/>
    </row>
    <row r="97" spans="1:20" s="214" customFormat="1" ht="15" customHeight="1">
      <c r="A97" s="196"/>
      <c r="B97" s="205"/>
      <c r="C97" s="206" t="s">
        <v>1435</v>
      </c>
      <c r="D97" s="207">
        <f>24.2*5.18*1.2*0.001</f>
        <v>0.1504272</v>
      </c>
      <c r="E97" s="208"/>
      <c r="F97" s="208"/>
      <c r="G97" s="209"/>
      <c r="H97" s="210"/>
      <c r="I97" s="210"/>
      <c r="J97" s="211"/>
      <c r="K97" s="85"/>
      <c r="L97" s="211"/>
      <c r="M97" s="211"/>
      <c r="N97" s="212"/>
      <c r="O97" s="213"/>
      <c r="P97" s="213"/>
      <c r="Q97" s="213"/>
      <c r="R97" s="213"/>
      <c r="S97" s="213"/>
      <c r="T97" s="213"/>
    </row>
    <row r="98" spans="1:7" ht="14" thickBot="1">
      <c r="A98" s="218"/>
      <c r="B98" s="219"/>
      <c r="C98" s="220"/>
      <c r="D98" s="221"/>
      <c r="E98" s="222"/>
      <c r="F98" s="223"/>
      <c r="G98" s="224"/>
    </row>
    <row r="99" spans="1:7" ht="13" thickBot="1">
      <c r="A99" s="225"/>
      <c r="B99" s="226"/>
      <c r="C99" s="227" t="s">
        <v>113</v>
      </c>
      <c r="D99" s="226"/>
      <c r="E99" s="228"/>
      <c r="F99" s="229"/>
      <c r="G99" s="230">
        <f>SUBTOTAL(9,G87:G98)</f>
        <v>0</v>
      </c>
    </row>
    <row r="100" spans="1:7" ht="13" thickBot="1">
      <c r="A100" s="179"/>
      <c r="B100" s="180"/>
      <c r="C100" s="180"/>
      <c r="D100" s="180"/>
      <c r="E100" s="180"/>
      <c r="F100" s="180"/>
      <c r="G100" s="181"/>
    </row>
    <row r="101" spans="1:7" ht="17.25" customHeight="1" thickBot="1">
      <c r="A101" s="182" t="s">
        <v>121</v>
      </c>
      <c r="B101" s="183"/>
      <c r="C101" s="184" t="s">
        <v>114</v>
      </c>
      <c r="D101" s="185"/>
      <c r="E101" s="186"/>
      <c r="F101" s="187"/>
      <c r="G101" s="188"/>
    </row>
    <row r="102" spans="1:7" ht="12.75">
      <c r="A102" s="189"/>
      <c r="B102" s="231"/>
      <c r="C102" s="232"/>
      <c r="D102" s="233"/>
      <c r="E102" s="234"/>
      <c r="F102" s="235"/>
      <c r="G102" s="236"/>
    </row>
    <row r="103" spans="1:20" s="204" customFormat="1" ht="29.25" customHeight="1">
      <c r="A103" s="196" t="s">
        <v>123</v>
      </c>
      <c r="B103" s="197" t="s">
        <v>2066</v>
      </c>
      <c r="C103" s="136" t="s">
        <v>2067</v>
      </c>
      <c r="D103" s="198" t="s">
        <v>46</v>
      </c>
      <c r="E103" s="199">
        <v>13.7</v>
      </c>
      <c r="F103" s="199"/>
      <c r="G103" s="200">
        <f>E103*F103</f>
        <v>0</v>
      </c>
      <c r="H103" s="201">
        <v>0.16632</v>
      </c>
      <c r="I103" s="201">
        <f>E103*H103</f>
        <v>2.278584</v>
      </c>
      <c r="J103" s="85">
        <v>0</v>
      </c>
      <c r="K103" s="85">
        <f>E103*J103</f>
        <v>0</v>
      </c>
      <c r="L103" s="85"/>
      <c r="M103" s="85"/>
      <c r="N103" s="202"/>
      <c r="O103" s="203"/>
      <c r="P103" s="203"/>
      <c r="Q103" s="203"/>
      <c r="R103" s="203"/>
      <c r="S103" s="203"/>
      <c r="T103" s="203"/>
    </row>
    <row r="104" spans="1:20" s="214" customFormat="1" ht="15" customHeight="1">
      <c r="A104" s="196"/>
      <c r="B104" s="205"/>
      <c r="C104" s="206"/>
      <c r="D104" s="207"/>
      <c r="E104" s="208"/>
      <c r="F104" s="208"/>
      <c r="G104" s="209"/>
      <c r="H104" s="210"/>
      <c r="I104" s="210"/>
      <c r="J104" s="211"/>
      <c r="K104" s="85"/>
      <c r="L104" s="211"/>
      <c r="M104" s="211"/>
      <c r="N104" s="212"/>
      <c r="O104" s="213"/>
      <c r="P104" s="213"/>
      <c r="Q104" s="213"/>
      <c r="R104" s="213"/>
      <c r="S104" s="213"/>
      <c r="T104" s="213"/>
    </row>
    <row r="105" spans="1:20" s="204" customFormat="1" ht="22.5" customHeight="1">
      <c r="A105" s="196" t="s">
        <v>124</v>
      </c>
      <c r="B105" s="663" t="s">
        <v>1400</v>
      </c>
      <c r="C105" s="666" t="s">
        <v>1401</v>
      </c>
      <c r="D105" s="664" t="s">
        <v>46</v>
      </c>
      <c r="E105" s="665">
        <f>SUM(D106)</f>
        <v>8.100000000000001</v>
      </c>
      <c r="F105" s="665"/>
      <c r="G105" s="200">
        <f>E105*F105</f>
        <v>0</v>
      </c>
      <c r="H105" s="201">
        <v>0.076</v>
      </c>
      <c r="I105" s="201">
        <f>E105*H105</f>
        <v>0.6156000000000001</v>
      </c>
      <c r="J105" s="85">
        <v>0</v>
      </c>
      <c r="K105" s="85">
        <f>E105*J105</f>
        <v>0</v>
      </c>
      <c r="L105" s="85"/>
      <c r="M105" s="85"/>
      <c r="N105" s="202"/>
      <c r="O105" s="203"/>
      <c r="P105" s="203"/>
      <c r="Q105" s="203"/>
      <c r="R105" s="203"/>
      <c r="S105" s="203"/>
      <c r="T105" s="203"/>
    </row>
    <row r="106" spans="1:12" s="251" customFormat="1" ht="17.25" customHeight="1">
      <c r="A106" s="196"/>
      <c r="B106" s="205"/>
      <c r="C106" s="245" t="s">
        <v>1543</v>
      </c>
      <c r="D106" s="246">
        <f>3*2.7</f>
        <v>8.100000000000001</v>
      </c>
      <c r="E106" s="247"/>
      <c r="F106" s="247"/>
      <c r="G106" s="248"/>
      <c r="H106" s="249"/>
      <c r="I106" s="250"/>
      <c r="J106" s="250"/>
      <c r="K106" s="250"/>
      <c r="L106" s="250"/>
    </row>
    <row r="107" spans="1:12" s="244" customFormat="1" ht="21.75" customHeight="1">
      <c r="A107" s="196" t="s">
        <v>125</v>
      </c>
      <c r="B107" s="237">
        <v>342272225</v>
      </c>
      <c r="C107" s="238" t="s">
        <v>118</v>
      </c>
      <c r="D107" s="197" t="s">
        <v>46</v>
      </c>
      <c r="E107" s="239">
        <f>SUM(D108)</f>
        <v>4.86</v>
      </c>
      <c r="F107" s="239"/>
      <c r="G107" s="240">
        <f>$E107*F107</f>
        <v>0</v>
      </c>
      <c r="H107" s="241">
        <v>0.05897</v>
      </c>
      <c r="I107" s="242">
        <f>E107*H107</f>
        <v>0.2865942</v>
      </c>
      <c r="J107" s="243">
        <v>0</v>
      </c>
      <c r="K107" s="241">
        <f>E107*J107</f>
        <v>0</v>
      </c>
      <c r="L107" s="241"/>
    </row>
    <row r="108" spans="1:12" s="251" customFormat="1" ht="17.25" customHeight="1">
      <c r="A108" s="196"/>
      <c r="B108" s="205"/>
      <c r="C108" s="245" t="s">
        <v>1542</v>
      </c>
      <c r="D108" s="246">
        <f>1.8*2.7</f>
        <v>4.86</v>
      </c>
      <c r="E108" s="247"/>
      <c r="F108" s="247"/>
      <c r="G108" s="248"/>
      <c r="H108" s="249"/>
      <c r="I108" s="250"/>
      <c r="J108" s="250"/>
      <c r="K108" s="250"/>
      <c r="L108" s="250"/>
    </row>
    <row r="109" spans="1:12" s="244" customFormat="1" ht="31.5" customHeight="1">
      <c r="A109" s="196" t="s">
        <v>126</v>
      </c>
      <c r="B109" s="237">
        <v>317142422</v>
      </c>
      <c r="C109" s="238" t="s">
        <v>1771</v>
      </c>
      <c r="D109" s="197" t="s">
        <v>158</v>
      </c>
      <c r="E109" s="239">
        <f>SUM(D110)</f>
        <v>2</v>
      </c>
      <c r="F109" s="239"/>
      <c r="G109" s="240">
        <f>$E109*F109</f>
        <v>0</v>
      </c>
      <c r="H109" s="241">
        <v>0.02628</v>
      </c>
      <c r="I109" s="242">
        <f>E109*H109</f>
        <v>0.05256</v>
      </c>
      <c r="J109" s="243">
        <v>0</v>
      </c>
      <c r="K109" s="241">
        <f>E109*J109</f>
        <v>0</v>
      </c>
      <c r="L109" s="241"/>
    </row>
    <row r="110" spans="1:12" s="251" customFormat="1" ht="17.25" customHeight="1">
      <c r="A110" s="196"/>
      <c r="B110" s="725"/>
      <c r="C110" s="726" t="s">
        <v>1540</v>
      </c>
      <c r="D110" s="727">
        <f>1+1</f>
        <v>2</v>
      </c>
      <c r="E110" s="728"/>
      <c r="F110" s="728"/>
      <c r="G110" s="729"/>
      <c r="H110" s="249"/>
      <c r="I110" s="250"/>
      <c r="J110" s="250"/>
      <c r="K110" s="250"/>
      <c r="L110" s="250"/>
    </row>
    <row r="111" spans="1:12" s="244" customFormat="1" ht="21.75" customHeight="1">
      <c r="A111" s="196" t="s">
        <v>127</v>
      </c>
      <c r="B111" s="237">
        <v>310279842</v>
      </c>
      <c r="C111" s="238" t="s">
        <v>120</v>
      </c>
      <c r="D111" s="197" t="s">
        <v>52</v>
      </c>
      <c r="E111" s="239">
        <f>SUM(D112)</f>
        <v>0.972</v>
      </c>
      <c r="F111" s="239"/>
      <c r="G111" s="240">
        <f>$E111*F111</f>
        <v>0</v>
      </c>
      <c r="H111" s="241">
        <v>1.32715</v>
      </c>
      <c r="I111" s="242">
        <f>E111*H111</f>
        <v>1.2899898</v>
      </c>
      <c r="J111" s="243">
        <v>0</v>
      </c>
      <c r="K111" s="241">
        <f>E111*J111</f>
        <v>0</v>
      </c>
      <c r="L111" s="241"/>
    </row>
    <row r="112" spans="1:12" s="251" customFormat="1" ht="17.25" customHeight="1">
      <c r="A112" s="196"/>
      <c r="B112" s="205"/>
      <c r="C112" s="245" t="s">
        <v>1402</v>
      </c>
      <c r="D112" s="246">
        <f>0.6*0.9*0.5*2+0.216*2</f>
        <v>0.972</v>
      </c>
      <c r="E112" s="247"/>
      <c r="F112" s="247"/>
      <c r="G112" s="248"/>
      <c r="H112" s="249"/>
      <c r="I112" s="250"/>
      <c r="J112" s="250"/>
      <c r="K112" s="250"/>
      <c r="L112" s="250"/>
    </row>
    <row r="113" spans="1:12" s="244" customFormat="1" ht="21.75" customHeight="1">
      <c r="A113" s="196" t="s">
        <v>128</v>
      </c>
      <c r="B113" s="237" t="s">
        <v>1137</v>
      </c>
      <c r="C113" s="238" t="s">
        <v>1138</v>
      </c>
      <c r="D113" s="197" t="s">
        <v>73</v>
      </c>
      <c r="E113" s="239">
        <f>SUM(D114)</f>
        <v>0.0575424</v>
      </c>
      <c r="F113" s="239"/>
      <c r="G113" s="240">
        <f>$E113*F113</f>
        <v>0</v>
      </c>
      <c r="H113" s="241">
        <v>1.09</v>
      </c>
      <c r="I113" s="242">
        <f>E113*H113</f>
        <v>0.06272121600000001</v>
      </c>
      <c r="J113" s="243">
        <v>0</v>
      </c>
      <c r="K113" s="241">
        <f>E113*J113</f>
        <v>0</v>
      </c>
      <c r="L113" s="241"/>
    </row>
    <row r="114" spans="1:12" s="251" customFormat="1" ht="17.25" customHeight="1">
      <c r="A114" s="196"/>
      <c r="B114" s="706" t="s">
        <v>1546</v>
      </c>
      <c r="C114" s="716" t="s">
        <v>1538</v>
      </c>
      <c r="D114" s="717">
        <f>1.6*11.1*1.08*3*0.001</f>
        <v>0.0575424</v>
      </c>
      <c r="E114" s="718"/>
      <c r="F114" s="718"/>
      <c r="G114" s="719"/>
      <c r="H114" s="249"/>
      <c r="I114" s="250"/>
      <c r="J114" s="250"/>
      <c r="K114" s="250"/>
      <c r="L114" s="250"/>
    </row>
    <row r="115" spans="1:12" s="244" customFormat="1" ht="21.75" customHeight="1">
      <c r="A115" s="196" t="s">
        <v>129</v>
      </c>
      <c r="B115" s="237" t="s">
        <v>1135</v>
      </c>
      <c r="C115" s="238" t="s">
        <v>1136</v>
      </c>
      <c r="D115" s="197" t="s">
        <v>52</v>
      </c>
      <c r="E115" s="239">
        <f>SUM(D116)</f>
        <v>0.12</v>
      </c>
      <c r="F115" s="239"/>
      <c r="G115" s="240">
        <f>$E115*F115</f>
        <v>0</v>
      </c>
      <c r="H115" s="241">
        <v>1.94302</v>
      </c>
      <c r="I115" s="242">
        <f>E115*H115</f>
        <v>0.2331624</v>
      </c>
      <c r="J115" s="243">
        <v>0</v>
      </c>
      <c r="K115" s="241">
        <f>E115*J115</f>
        <v>0</v>
      </c>
      <c r="L115" s="241"/>
    </row>
    <row r="116" spans="1:12" s="251" customFormat="1" ht="17.25" customHeight="1">
      <c r="A116" s="715"/>
      <c r="B116" s="706"/>
      <c r="C116" s="716" t="s">
        <v>1539</v>
      </c>
      <c r="D116" s="717">
        <f>1.6*0.5*0.15</f>
        <v>0.12</v>
      </c>
      <c r="E116" s="718"/>
      <c r="F116" s="718"/>
      <c r="G116" s="719"/>
      <c r="H116" s="249"/>
      <c r="I116" s="250"/>
      <c r="J116" s="250"/>
      <c r="K116" s="250"/>
      <c r="L116" s="250"/>
    </row>
    <row r="117" spans="1:7" ht="14" thickBot="1">
      <c r="A117" s="218"/>
      <c r="B117" s="219"/>
      <c r="C117" s="220"/>
      <c r="D117" s="221"/>
      <c r="E117" s="222"/>
      <c r="F117" s="223"/>
      <c r="G117" s="224"/>
    </row>
    <row r="118" spans="1:7" ht="13" thickBot="1">
      <c r="A118" s="225"/>
      <c r="B118" s="226"/>
      <c r="C118" s="227" t="s">
        <v>113</v>
      </c>
      <c r="D118" s="226"/>
      <c r="E118" s="228"/>
      <c r="F118" s="229"/>
      <c r="G118" s="230">
        <f>SUBTOTAL(9,G102:G117)</f>
        <v>0</v>
      </c>
    </row>
    <row r="119" spans="1:7" ht="13" thickBot="1">
      <c r="A119" s="179"/>
      <c r="B119" s="180"/>
      <c r="C119" s="180"/>
      <c r="D119" s="180"/>
      <c r="E119" s="180"/>
      <c r="F119" s="180"/>
      <c r="G119" s="181"/>
    </row>
    <row r="120" spans="1:7" ht="17.25" customHeight="1" thickBot="1">
      <c r="A120" s="182" t="s">
        <v>98</v>
      </c>
      <c r="B120" s="183"/>
      <c r="C120" s="184" t="s">
        <v>1139</v>
      </c>
      <c r="D120" s="185"/>
      <c r="E120" s="186"/>
      <c r="F120" s="187"/>
      <c r="G120" s="188"/>
    </row>
    <row r="121" spans="1:7" ht="12.75">
      <c r="A121" s="189"/>
      <c r="B121" s="231"/>
      <c r="C121" s="232"/>
      <c r="D121" s="233"/>
      <c r="E121" s="234"/>
      <c r="F121" s="235"/>
      <c r="G121" s="236"/>
    </row>
    <row r="122" spans="1:20" s="271" customFormat="1" ht="25.5" customHeight="1">
      <c r="A122" s="268" t="s">
        <v>156</v>
      </c>
      <c r="B122" s="269" t="s">
        <v>2073</v>
      </c>
      <c r="C122" s="270" t="s">
        <v>2074</v>
      </c>
      <c r="D122" s="198" t="s">
        <v>52</v>
      </c>
      <c r="E122" s="199">
        <f>SUM(D123)</f>
        <v>1.29</v>
      </c>
      <c r="F122" s="199"/>
      <c r="G122" s="200">
        <f aca="true" t="shared" si="1" ref="G122:G127">E122*F122</f>
        <v>0</v>
      </c>
      <c r="H122" s="242">
        <v>2.4534</v>
      </c>
      <c r="I122" s="201">
        <f aca="true" t="shared" si="2" ref="I122:I127">E122*H122</f>
        <v>3.1648859999999996</v>
      </c>
      <c r="J122" s="85"/>
      <c r="K122" s="85"/>
      <c r="L122" s="85"/>
      <c r="M122" s="85"/>
      <c r="N122" s="202"/>
      <c r="O122" s="203"/>
      <c r="P122" s="203"/>
      <c r="Q122" s="203"/>
      <c r="R122" s="203"/>
      <c r="S122" s="203"/>
      <c r="T122" s="203"/>
    </row>
    <row r="123" spans="1:20" s="214" customFormat="1" ht="15" customHeight="1">
      <c r="A123" s="196"/>
      <c r="B123" s="205"/>
      <c r="C123" s="206" t="s">
        <v>2297</v>
      </c>
      <c r="D123" s="207">
        <f>21.5*0.3*0.2</f>
        <v>1.29</v>
      </c>
      <c r="E123" s="208"/>
      <c r="F123" s="208"/>
      <c r="G123" s="209"/>
      <c r="H123" s="210"/>
      <c r="I123" s="201"/>
      <c r="J123" s="211"/>
      <c r="K123" s="85"/>
      <c r="L123" s="211"/>
      <c r="M123" s="211"/>
      <c r="N123" s="212"/>
      <c r="O123" s="213"/>
      <c r="P123" s="213"/>
      <c r="Q123" s="213"/>
      <c r="R123" s="213"/>
      <c r="S123" s="213"/>
      <c r="T123" s="213"/>
    </row>
    <row r="124" spans="1:20" s="271" customFormat="1" ht="25.5" customHeight="1">
      <c r="A124" s="268" t="s">
        <v>159</v>
      </c>
      <c r="B124" s="237" t="s">
        <v>2075</v>
      </c>
      <c r="C124" s="273" t="s">
        <v>2076</v>
      </c>
      <c r="D124" s="198" t="s">
        <v>46</v>
      </c>
      <c r="E124" s="199">
        <f>SUM(D125)</f>
        <v>8.6</v>
      </c>
      <c r="F124" s="199"/>
      <c r="G124" s="200">
        <f t="shared" si="1"/>
        <v>0</v>
      </c>
      <c r="H124" s="85">
        <v>0.00576</v>
      </c>
      <c r="I124" s="201">
        <f t="shared" si="2"/>
        <v>0.049536000000000004</v>
      </c>
      <c r="J124" s="85"/>
      <c r="K124" s="85"/>
      <c r="L124" s="85"/>
      <c r="M124" s="85"/>
      <c r="N124" s="202"/>
      <c r="O124" s="203"/>
      <c r="P124" s="203"/>
      <c r="Q124" s="203"/>
      <c r="R124" s="203"/>
      <c r="S124" s="203"/>
      <c r="T124" s="203"/>
    </row>
    <row r="125" spans="1:20" s="214" customFormat="1" ht="15" customHeight="1">
      <c r="A125" s="196"/>
      <c r="B125" s="205"/>
      <c r="C125" s="206" t="s">
        <v>2298</v>
      </c>
      <c r="D125" s="207">
        <f>21.5*2*0.2</f>
        <v>8.6</v>
      </c>
      <c r="E125" s="208"/>
      <c r="F125" s="208"/>
      <c r="G125" s="209"/>
      <c r="H125" s="210"/>
      <c r="I125" s="201"/>
      <c r="J125" s="211"/>
      <c r="K125" s="85"/>
      <c r="L125" s="211"/>
      <c r="M125" s="211"/>
      <c r="N125" s="212"/>
      <c r="O125" s="213"/>
      <c r="P125" s="213"/>
      <c r="Q125" s="213"/>
      <c r="R125" s="213"/>
      <c r="S125" s="213"/>
      <c r="T125" s="213"/>
    </row>
    <row r="126" spans="1:20" s="271" customFormat="1" ht="25.5" customHeight="1">
      <c r="A126" s="268" t="s">
        <v>162</v>
      </c>
      <c r="B126" s="237" t="s">
        <v>2077</v>
      </c>
      <c r="C126" s="273" t="s">
        <v>2078</v>
      </c>
      <c r="D126" s="198" t="s">
        <v>46</v>
      </c>
      <c r="E126" s="199">
        <f>E124</f>
        <v>8.6</v>
      </c>
      <c r="F126" s="199"/>
      <c r="G126" s="200">
        <f t="shared" si="1"/>
        <v>0</v>
      </c>
      <c r="H126" s="85">
        <v>0</v>
      </c>
      <c r="I126" s="201">
        <f t="shared" si="2"/>
        <v>0</v>
      </c>
      <c r="J126" s="85"/>
      <c r="K126" s="85"/>
      <c r="L126" s="85"/>
      <c r="M126" s="85"/>
      <c r="N126" s="202"/>
      <c r="O126" s="203"/>
      <c r="P126" s="203"/>
      <c r="Q126" s="203"/>
      <c r="R126" s="203"/>
      <c r="S126" s="203"/>
      <c r="T126" s="203"/>
    </row>
    <row r="127" spans="1:20" s="271" customFormat="1" ht="25.5" customHeight="1">
      <c r="A127" s="268" t="s">
        <v>164</v>
      </c>
      <c r="B127" s="237" t="s">
        <v>2079</v>
      </c>
      <c r="C127" s="273" t="s">
        <v>2080</v>
      </c>
      <c r="D127" s="198" t="s">
        <v>73</v>
      </c>
      <c r="E127" s="199">
        <f>E122*0.08</f>
        <v>0.1032</v>
      </c>
      <c r="F127" s="199"/>
      <c r="G127" s="200">
        <f t="shared" si="1"/>
        <v>0</v>
      </c>
      <c r="H127" s="85">
        <v>1.05291</v>
      </c>
      <c r="I127" s="201">
        <f t="shared" si="2"/>
        <v>0.108660312</v>
      </c>
      <c r="J127" s="85"/>
      <c r="K127" s="85"/>
      <c r="L127" s="85"/>
      <c r="M127" s="85"/>
      <c r="N127" s="202"/>
      <c r="O127" s="203"/>
      <c r="P127" s="203"/>
      <c r="Q127" s="203"/>
      <c r="R127" s="203"/>
      <c r="S127" s="203"/>
      <c r="T127" s="203"/>
    </row>
    <row r="128" spans="1:20" s="204" customFormat="1" ht="15" customHeight="1">
      <c r="A128" s="268"/>
      <c r="B128" s="197"/>
      <c r="C128" s="136"/>
      <c r="D128" s="198"/>
      <c r="E128" s="199"/>
      <c r="F128" s="199"/>
      <c r="G128" s="200">
        <f>E128*F128</f>
        <v>0</v>
      </c>
      <c r="H128" s="201">
        <v>0.011</v>
      </c>
      <c r="I128" s="201">
        <f>E128*H128</f>
        <v>0</v>
      </c>
      <c r="J128" s="85">
        <v>0</v>
      </c>
      <c r="K128" s="85">
        <f>E128*J128</f>
        <v>0</v>
      </c>
      <c r="L128" s="85"/>
      <c r="M128" s="85"/>
      <c r="N128" s="202"/>
      <c r="O128" s="203"/>
      <c r="P128" s="203"/>
      <c r="Q128" s="203"/>
      <c r="R128" s="203"/>
      <c r="S128" s="203"/>
      <c r="T128" s="203"/>
    </row>
    <row r="129" spans="1:20" s="204" customFormat="1" ht="30" customHeight="1">
      <c r="A129" s="268" t="s">
        <v>363</v>
      </c>
      <c r="B129" s="197">
        <v>411141113</v>
      </c>
      <c r="C129" s="136" t="s">
        <v>1455</v>
      </c>
      <c r="D129" s="198" t="s">
        <v>46</v>
      </c>
      <c r="E129" s="199">
        <f>SUM(D130)</f>
        <v>31.6</v>
      </c>
      <c r="F129" s="199"/>
      <c r="G129" s="240">
        <f>$E129*F129</f>
        <v>0</v>
      </c>
      <c r="H129" s="201">
        <v>0.264</v>
      </c>
      <c r="I129" s="242">
        <f>E129*H129</f>
        <v>8.342400000000001</v>
      </c>
      <c r="J129" s="243">
        <v>0</v>
      </c>
      <c r="K129" s="241">
        <f>E129*J129</f>
        <v>0</v>
      </c>
      <c r="L129" s="85"/>
      <c r="M129" s="85"/>
      <c r="N129" s="202"/>
      <c r="O129" s="203"/>
      <c r="P129" s="203"/>
      <c r="Q129" s="203"/>
      <c r="R129" s="203"/>
      <c r="S129" s="203"/>
      <c r="T129" s="203"/>
    </row>
    <row r="130" spans="1:20" s="214" customFormat="1" ht="15" customHeight="1">
      <c r="A130" s="196"/>
      <c r="B130" s="205"/>
      <c r="C130" s="206" t="s">
        <v>2334</v>
      </c>
      <c r="D130" s="207">
        <f>9.3*3.4-0.02</f>
        <v>31.6</v>
      </c>
      <c r="E130" s="208"/>
      <c r="F130" s="208"/>
      <c r="G130" s="209"/>
      <c r="H130" s="210"/>
      <c r="I130" s="201"/>
      <c r="J130" s="211"/>
      <c r="K130" s="85"/>
      <c r="L130" s="211"/>
      <c r="M130" s="211"/>
      <c r="N130" s="212"/>
      <c r="O130" s="213"/>
      <c r="P130" s="213"/>
      <c r="Q130" s="213"/>
      <c r="R130" s="213"/>
      <c r="S130" s="213"/>
      <c r="T130" s="213"/>
    </row>
    <row r="131" spans="1:12" s="244" customFormat="1" ht="21.75" customHeight="1">
      <c r="A131" s="268" t="s">
        <v>364</v>
      </c>
      <c r="B131" s="237" t="s">
        <v>1140</v>
      </c>
      <c r="C131" s="238" t="s">
        <v>1141</v>
      </c>
      <c r="D131" s="197" t="s">
        <v>175</v>
      </c>
      <c r="E131" s="239">
        <v>6</v>
      </c>
      <c r="F131" s="239"/>
      <c r="G131" s="240">
        <f>$E131*F131</f>
        <v>0</v>
      </c>
      <c r="H131" s="241">
        <v>0.02278</v>
      </c>
      <c r="I131" s="242">
        <f>E131*H131</f>
        <v>0.13668000000000002</v>
      </c>
      <c r="J131" s="243">
        <v>0</v>
      </c>
      <c r="K131" s="241">
        <f>E131*J131</f>
        <v>0</v>
      </c>
      <c r="L131" s="241"/>
    </row>
    <row r="132" spans="1:12" s="244" customFormat="1" ht="21.75" customHeight="1">
      <c r="A132" s="268" t="s">
        <v>365</v>
      </c>
      <c r="B132" s="237" t="s">
        <v>2336</v>
      </c>
      <c r="C132" s="238" t="s">
        <v>2335</v>
      </c>
      <c r="D132" s="197" t="s">
        <v>175</v>
      </c>
      <c r="E132" s="239">
        <v>14</v>
      </c>
      <c r="F132" s="239"/>
      <c r="G132" s="240">
        <f>$E132*F132</f>
        <v>0</v>
      </c>
      <c r="H132" s="241">
        <v>0.059</v>
      </c>
      <c r="I132" s="242">
        <f>E132*H132</f>
        <v>0.826</v>
      </c>
      <c r="J132" s="243">
        <v>0</v>
      </c>
      <c r="K132" s="241">
        <f>E132*J132</f>
        <v>0</v>
      </c>
      <c r="L132" s="241"/>
    </row>
    <row r="133" spans="1:7" ht="14" thickBot="1">
      <c r="A133" s="218"/>
      <c r="B133" s="219"/>
      <c r="C133" s="220"/>
      <c r="D133" s="221"/>
      <c r="E133" s="222"/>
      <c r="F133" s="223"/>
      <c r="G133" s="224"/>
    </row>
    <row r="134" spans="1:7" ht="13" thickBot="1">
      <c r="A134" s="225"/>
      <c r="B134" s="226"/>
      <c r="C134" s="227" t="s">
        <v>113</v>
      </c>
      <c r="D134" s="226"/>
      <c r="E134" s="228"/>
      <c r="F134" s="229"/>
      <c r="G134" s="230">
        <f>SUBTOTAL(9,G121:G133)</f>
        <v>0</v>
      </c>
    </row>
    <row r="135" spans="1:7" ht="13" thickBot="1">
      <c r="A135" s="179"/>
      <c r="B135" s="180"/>
      <c r="C135" s="180"/>
      <c r="D135" s="180"/>
      <c r="E135" s="180"/>
      <c r="F135" s="180"/>
      <c r="G135" s="181"/>
    </row>
    <row r="136" spans="1:7" ht="17.25" customHeight="1" thickBot="1">
      <c r="A136" s="182" t="s">
        <v>166</v>
      </c>
      <c r="B136" s="183"/>
      <c r="C136" s="184" t="s">
        <v>122</v>
      </c>
      <c r="D136" s="185"/>
      <c r="E136" s="186"/>
      <c r="F136" s="187"/>
      <c r="G136" s="188"/>
    </row>
    <row r="137" spans="1:7" ht="12.75">
      <c r="A137" s="189"/>
      <c r="B137" s="231"/>
      <c r="C137" s="232"/>
      <c r="D137" s="233"/>
      <c r="E137" s="234"/>
      <c r="F137" s="235"/>
      <c r="G137" s="236"/>
    </row>
    <row r="138" spans="1:7" ht="12.75">
      <c r="A138" s="572"/>
      <c r="B138" s="305"/>
      <c r="C138" s="254" t="s">
        <v>1476</v>
      </c>
      <c r="D138" s="489"/>
      <c r="E138" s="585"/>
      <c r="F138" s="586"/>
      <c r="G138" s="587"/>
    </row>
    <row r="139" spans="1:20" s="204" customFormat="1" ht="24" customHeight="1">
      <c r="A139" s="268" t="s">
        <v>168</v>
      </c>
      <c r="B139" s="197" t="s">
        <v>1437</v>
      </c>
      <c r="C139" s="136" t="s">
        <v>1436</v>
      </c>
      <c r="D139" s="198" t="s">
        <v>46</v>
      </c>
      <c r="E139" s="199">
        <f>SUM(D140:D141)</f>
        <v>68.4</v>
      </c>
      <c r="F139" s="199"/>
      <c r="G139" s="200">
        <f>E139*F139</f>
        <v>0</v>
      </c>
      <c r="H139" s="201">
        <v>0</v>
      </c>
      <c r="I139" s="201">
        <f>E139*H139</f>
        <v>0</v>
      </c>
      <c r="J139" s="85">
        <v>0</v>
      </c>
      <c r="K139" s="85">
        <f>E139*J139</f>
        <v>0</v>
      </c>
      <c r="L139" s="85"/>
      <c r="M139" s="85"/>
      <c r="N139" s="202"/>
      <c r="O139" s="203"/>
      <c r="P139" s="203"/>
      <c r="Q139" s="203"/>
      <c r="R139" s="203"/>
      <c r="S139" s="203"/>
      <c r="T139" s="203"/>
    </row>
    <row r="140" spans="1:20" s="596" customFormat="1" ht="24" customHeight="1">
      <c r="A140" s="683"/>
      <c r="B140" s="681" t="s">
        <v>1460</v>
      </c>
      <c r="C140" s="678" t="s">
        <v>1462</v>
      </c>
      <c r="D140" s="685">
        <f>(12.1+3.8+3.1)*0.45</f>
        <v>8.55</v>
      </c>
      <c r="E140" s="679"/>
      <c r="F140" s="679"/>
      <c r="G140" s="680"/>
      <c r="H140" s="592"/>
      <c r="I140" s="592"/>
      <c r="J140" s="593"/>
      <c r="K140" s="593"/>
      <c r="L140" s="593"/>
      <c r="M140" s="593"/>
      <c r="N140" s="594"/>
      <c r="O140" s="595"/>
      <c r="P140" s="595"/>
      <c r="Q140" s="595"/>
      <c r="R140" s="595"/>
      <c r="S140" s="595"/>
      <c r="T140" s="595"/>
    </row>
    <row r="141" spans="1:20" s="596" customFormat="1" ht="24" customHeight="1">
      <c r="A141" s="683"/>
      <c r="B141" s="682" t="s">
        <v>1461</v>
      </c>
      <c r="C141" s="678" t="s">
        <v>1464</v>
      </c>
      <c r="D141" s="685">
        <f>(12.1+3.8+3.1)*3.15</f>
        <v>59.85</v>
      </c>
      <c r="E141" s="679"/>
      <c r="F141" s="679"/>
      <c r="G141" s="680"/>
      <c r="H141" s="592"/>
      <c r="I141" s="592"/>
      <c r="J141" s="593"/>
      <c r="K141" s="593"/>
      <c r="L141" s="593"/>
      <c r="M141" s="593"/>
      <c r="N141" s="594"/>
      <c r="O141" s="595"/>
      <c r="P141" s="595"/>
      <c r="Q141" s="595"/>
      <c r="R141" s="595"/>
      <c r="S141" s="595"/>
      <c r="T141" s="595"/>
    </row>
    <row r="142" spans="1:20" s="204" customFormat="1" ht="24" customHeight="1">
      <c r="A142" s="268" t="s">
        <v>268</v>
      </c>
      <c r="B142" s="197" t="s">
        <v>1411</v>
      </c>
      <c r="C142" s="136" t="s">
        <v>1412</v>
      </c>
      <c r="D142" s="198" t="s">
        <v>46</v>
      </c>
      <c r="E142" s="199">
        <f>SUM(D143:D144)</f>
        <v>46.55</v>
      </c>
      <c r="F142" s="199"/>
      <c r="G142" s="200">
        <f>E142*F142</f>
        <v>0</v>
      </c>
      <c r="H142" s="201">
        <v>0</v>
      </c>
      <c r="I142" s="201">
        <f>E142*H142</f>
        <v>0</v>
      </c>
      <c r="J142" s="85">
        <v>0</v>
      </c>
      <c r="K142" s="85">
        <f>E142*J142</f>
        <v>0</v>
      </c>
      <c r="L142" s="85"/>
      <c r="M142" s="85"/>
      <c r="N142" s="202"/>
      <c r="O142" s="203"/>
      <c r="P142" s="203"/>
      <c r="Q142" s="203"/>
      <c r="R142" s="203"/>
      <c r="S142" s="203"/>
      <c r="T142" s="203"/>
    </row>
    <row r="143" spans="1:20" s="596" customFormat="1" ht="30" customHeight="1">
      <c r="A143" s="683"/>
      <c r="B143" s="681" t="s">
        <v>1460</v>
      </c>
      <c r="C143" s="678" t="s">
        <v>1462</v>
      </c>
      <c r="D143" s="685">
        <f>(12.1+3.8+3.1)*0.45</f>
        <v>8.55</v>
      </c>
      <c r="E143" s="679"/>
      <c r="F143" s="679"/>
      <c r="G143" s="680"/>
      <c r="H143" s="592"/>
      <c r="I143" s="592"/>
      <c r="J143" s="593"/>
      <c r="K143" s="593"/>
      <c r="L143" s="593"/>
      <c r="M143" s="593"/>
      <c r="N143" s="594"/>
      <c r="O143" s="595"/>
      <c r="P143" s="595"/>
      <c r="Q143" s="595"/>
      <c r="R143" s="595"/>
      <c r="S143" s="595"/>
      <c r="T143" s="595"/>
    </row>
    <row r="144" spans="1:20" s="596" customFormat="1" ht="17.25" customHeight="1">
      <c r="A144" s="683"/>
      <c r="B144" s="682" t="s">
        <v>1461</v>
      </c>
      <c r="C144" s="678" t="s">
        <v>1463</v>
      </c>
      <c r="D144" s="685">
        <f>(12.1+3.8+3.1)*2</f>
        <v>38</v>
      </c>
      <c r="E144" s="679"/>
      <c r="F144" s="679"/>
      <c r="G144" s="680"/>
      <c r="H144" s="592"/>
      <c r="I144" s="592"/>
      <c r="J144" s="593"/>
      <c r="K144" s="593"/>
      <c r="L144" s="593"/>
      <c r="M144" s="593"/>
      <c r="N144" s="594"/>
      <c r="O144" s="595"/>
      <c r="P144" s="595"/>
      <c r="Q144" s="595"/>
      <c r="R144" s="595"/>
      <c r="S144" s="595"/>
      <c r="T144" s="595"/>
    </row>
    <row r="145" spans="1:20" s="204" customFormat="1" ht="24" customHeight="1">
      <c r="A145" s="268" t="s">
        <v>269</v>
      </c>
      <c r="B145" s="197" t="s">
        <v>1413</v>
      </c>
      <c r="C145" s="136" t="s">
        <v>1414</v>
      </c>
      <c r="D145" s="198" t="s">
        <v>181</v>
      </c>
      <c r="E145" s="199">
        <f>E142*0.127</f>
        <v>5.911849999999999</v>
      </c>
      <c r="F145" s="199"/>
      <c r="G145" s="200">
        <f>E145*F145</f>
        <v>0</v>
      </c>
      <c r="H145" s="201">
        <v>0</v>
      </c>
      <c r="I145" s="201">
        <f>E145*H145</f>
        <v>0</v>
      </c>
      <c r="J145" s="85">
        <v>0</v>
      </c>
      <c r="K145" s="85">
        <f>E145*J145</f>
        <v>0</v>
      </c>
      <c r="L145" s="85"/>
      <c r="M145" s="85"/>
      <c r="N145" s="202"/>
      <c r="O145" s="203"/>
      <c r="P145" s="203"/>
      <c r="Q145" s="203"/>
      <c r="R145" s="203"/>
      <c r="S145" s="203"/>
      <c r="T145" s="203"/>
    </row>
    <row r="146" spans="1:20" s="204" customFormat="1" ht="24" customHeight="1">
      <c r="A146" s="268" t="s">
        <v>329</v>
      </c>
      <c r="B146" s="197" t="s">
        <v>1415</v>
      </c>
      <c r="C146" s="136" t="s">
        <v>1416</v>
      </c>
      <c r="D146" s="198" t="s">
        <v>46</v>
      </c>
      <c r="E146" s="199">
        <f>SUM(D147)</f>
        <v>8.55</v>
      </c>
      <c r="F146" s="199"/>
      <c r="G146" s="200">
        <f>E146*F146</f>
        <v>0</v>
      </c>
      <c r="H146" s="201">
        <v>0</v>
      </c>
      <c r="I146" s="201">
        <f>E146*H146</f>
        <v>0</v>
      </c>
      <c r="J146" s="85">
        <v>0</v>
      </c>
      <c r="K146" s="85">
        <f>E146*J146</f>
        <v>0</v>
      </c>
      <c r="L146" s="85"/>
      <c r="M146" s="85"/>
      <c r="N146" s="202"/>
      <c r="O146" s="203"/>
      <c r="P146" s="203"/>
      <c r="Q146" s="203"/>
      <c r="R146" s="203"/>
      <c r="S146" s="203"/>
      <c r="T146" s="203"/>
    </row>
    <row r="147" spans="1:20" s="596" customFormat="1" ht="24" customHeight="1">
      <c r="A147" s="683"/>
      <c r="B147" s="681" t="s">
        <v>1460</v>
      </c>
      <c r="C147" s="678" t="s">
        <v>1462</v>
      </c>
      <c r="D147" s="685">
        <f>(12.1+3.8+3.1)*0.45</f>
        <v>8.55</v>
      </c>
      <c r="E147" s="679"/>
      <c r="F147" s="679"/>
      <c r="G147" s="680"/>
      <c r="H147" s="592"/>
      <c r="I147" s="592"/>
      <c r="J147" s="593"/>
      <c r="K147" s="593"/>
      <c r="L147" s="593"/>
      <c r="M147" s="593"/>
      <c r="N147" s="594"/>
      <c r="O147" s="595"/>
      <c r="P147" s="595"/>
      <c r="Q147" s="595"/>
      <c r="R147" s="595"/>
      <c r="S147" s="595"/>
      <c r="T147" s="595"/>
    </row>
    <row r="148" spans="1:20" s="204" customFormat="1" ht="24" customHeight="1">
      <c r="A148" s="268" t="s">
        <v>330</v>
      </c>
      <c r="B148" s="197" t="s">
        <v>1417</v>
      </c>
      <c r="C148" s="136" t="s">
        <v>1418</v>
      </c>
      <c r="D148" s="198" t="s">
        <v>181</v>
      </c>
      <c r="E148" s="199">
        <f>E146*1.5</f>
        <v>12.825000000000001</v>
      </c>
      <c r="F148" s="199"/>
      <c r="G148" s="200">
        <f>E148*F148</f>
        <v>0</v>
      </c>
      <c r="H148" s="201">
        <v>0.001</v>
      </c>
      <c r="I148" s="201">
        <f>E148*H148</f>
        <v>0.012825000000000001</v>
      </c>
      <c r="J148" s="85">
        <v>0</v>
      </c>
      <c r="K148" s="85">
        <f>E148*J148</f>
        <v>0</v>
      </c>
      <c r="L148" s="85"/>
      <c r="M148" s="85"/>
      <c r="N148" s="202"/>
      <c r="O148" s="203"/>
      <c r="P148" s="203"/>
      <c r="Q148" s="203"/>
      <c r="R148" s="203"/>
      <c r="S148" s="203"/>
      <c r="T148" s="203"/>
    </row>
    <row r="149" spans="1:20" s="204" customFormat="1" ht="24" customHeight="1">
      <c r="A149" s="268" t="s">
        <v>331</v>
      </c>
      <c r="B149" s="197" t="s">
        <v>1411</v>
      </c>
      <c r="C149" s="136" t="s">
        <v>1454</v>
      </c>
      <c r="D149" s="198" t="s">
        <v>46</v>
      </c>
      <c r="E149" s="199">
        <f>SUM(D150:D150)</f>
        <v>8.55</v>
      </c>
      <c r="F149" s="199"/>
      <c r="G149" s="200">
        <f>E149*F149</f>
        <v>0</v>
      </c>
      <c r="H149" s="201">
        <v>0</v>
      </c>
      <c r="I149" s="201">
        <f>E149*H149</f>
        <v>0</v>
      </c>
      <c r="J149" s="85">
        <v>0</v>
      </c>
      <c r="K149" s="85">
        <f>E149*J149</f>
        <v>0</v>
      </c>
      <c r="L149" s="85"/>
      <c r="M149" s="85"/>
      <c r="N149" s="202"/>
      <c r="O149" s="203"/>
      <c r="P149" s="203"/>
      <c r="Q149" s="203"/>
      <c r="R149" s="203"/>
      <c r="S149" s="203"/>
      <c r="T149" s="203"/>
    </row>
    <row r="150" spans="1:20" s="596" customFormat="1" ht="24" customHeight="1">
      <c r="A150" s="683"/>
      <c r="B150" s="681" t="s">
        <v>1460</v>
      </c>
      <c r="C150" s="678" t="s">
        <v>1462</v>
      </c>
      <c r="D150" s="685">
        <f>(12.1+3.8+3.1)*0.45</f>
        <v>8.55</v>
      </c>
      <c r="E150" s="679"/>
      <c r="F150" s="679"/>
      <c r="G150" s="680"/>
      <c r="H150" s="592"/>
      <c r="I150" s="592"/>
      <c r="J150" s="593"/>
      <c r="K150" s="593"/>
      <c r="L150" s="593"/>
      <c r="M150" s="593"/>
      <c r="N150" s="594"/>
      <c r="O150" s="595"/>
      <c r="P150" s="595"/>
      <c r="Q150" s="595"/>
      <c r="R150" s="595"/>
      <c r="S150" s="595"/>
      <c r="T150" s="595"/>
    </row>
    <row r="151" spans="1:20" s="204" customFormat="1" ht="24" customHeight="1">
      <c r="A151" s="268" t="s">
        <v>332</v>
      </c>
      <c r="B151" s="197" t="s">
        <v>1419</v>
      </c>
      <c r="C151" s="136" t="s">
        <v>1420</v>
      </c>
      <c r="D151" s="198" t="s">
        <v>181</v>
      </c>
      <c r="E151" s="199">
        <f>E149*0.127</f>
        <v>1.0858500000000002</v>
      </c>
      <c r="F151" s="199"/>
      <c r="G151" s="200">
        <f>E151*F151</f>
        <v>0</v>
      </c>
      <c r="H151" s="201">
        <v>0</v>
      </c>
      <c r="I151" s="201">
        <f>E151*H151</f>
        <v>0</v>
      </c>
      <c r="J151" s="85">
        <v>0</v>
      </c>
      <c r="K151" s="85">
        <f>E151*J151</f>
        <v>0</v>
      </c>
      <c r="L151" s="85"/>
      <c r="M151" s="85"/>
      <c r="N151" s="202"/>
      <c r="O151" s="203"/>
      <c r="P151" s="203"/>
      <c r="Q151" s="203"/>
      <c r="R151" s="203"/>
      <c r="S151" s="203"/>
      <c r="T151" s="203"/>
    </row>
    <row r="152" spans="1:20" s="204" customFormat="1" ht="24" customHeight="1">
      <c r="A152" s="268" t="s">
        <v>333</v>
      </c>
      <c r="B152" s="197" t="s">
        <v>1467</v>
      </c>
      <c r="C152" s="136" t="s">
        <v>1440</v>
      </c>
      <c r="D152" s="198" t="s">
        <v>46</v>
      </c>
      <c r="E152" s="199">
        <f>SUM(D153:D153)</f>
        <v>8.55</v>
      </c>
      <c r="F152" s="199"/>
      <c r="G152" s="200">
        <f>E152*F152</f>
        <v>0</v>
      </c>
      <c r="H152" s="201">
        <v>0.0234</v>
      </c>
      <c r="I152" s="201">
        <f>E152*H152</f>
        <v>0.20007000000000003</v>
      </c>
      <c r="J152" s="85">
        <v>0</v>
      </c>
      <c r="K152" s="85">
        <f>E152*J152</f>
        <v>0</v>
      </c>
      <c r="L152" s="85"/>
      <c r="M152" s="85"/>
      <c r="N152" s="202"/>
      <c r="O152" s="203"/>
      <c r="P152" s="203"/>
      <c r="Q152" s="203"/>
      <c r="R152" s="203"/>
      <c r="S152" s="203"/>
      <c r="T152" s="203"/>
    </row>
    <row r="153" spans="1:20" s="596" customFormat="1" ht="24" customHeight="1">
      <c r="A153" s="683"/>
      <c r="B153" s="681" t="s">
        <v>1460</v>
      </c>
      <c r="C153" s="678" t="s">
        <v>1462</v>
      </c>
      <c r="D153" s="685">
        <f>(12.1+3.8+3.1)*0.45</f>
        <v>8.55</v>
      </c>
      <c r="E153" s="679"/>
      <c r="F153" s="679"/>
      <c r="G153" s="680"/>
      <c r="H153" s="592"/>
      <c r="I153" s="592"/>
      <c r="J153" s="593"/>
      <c r="K153" s="593"/>
      <c r="L153" s="593"/>
      <c r="M153" s="593"/>
      <c r="N153" s="594"/>
      <c r="O153" s="595"/>
      <c r="P153" s="595"/>
      <c r="Q153" s="595"/>
      <c r="R153" s="595"/>
      <c r="S153" s="595"/>
      <c r="T153" s="595"/>
    </row>
    <row r="154" spans="1:20" s="204" customFormat="1" ht="24" customHeight="1">
      <c r="A154" s="268" t="s">
        <v>373</v>
      </c>
      <c r="B154" s="197" t="s">
        <v>1466</v>
      </c>
      <c r="C154" s="136" t="s">
        <v>1465</v>
      </c>
      <c r="D154" s="198" t="s">
        <v>46</v>
      </c>
      <c r="E154" s="199">
        <f>SUM(D155)</f>
        <v>81.89999999999999</v>
      </c>
      <c r="F154" s="199"/>
      <c r="G154" s="200">
        <f>E154*F154</f>
        <v>0</v>
      </c>
      <c r="H154" s="201">
        <v>0.01325</v>
      </c>
      <c r="I154" s="201">
        <f>E154*H154</f>
        <v>1.0851749999999998</v>
      </c>
      <c r="J154" s="85">
        <v>0</v>
      </c>
      <c r="K154" s="85">
        <f>E154*J154</f>
        <v>0</v>
      </c>
      <c r="L154" s="85"/>
      <c r="M154" s="85"/>
      <c r="N154" s="202"/>
      <c r="O154" s="203"/>
      <c r="P154" s="203"/>
      <c r="Q154" s="203"/>
      <c r="R154" s="203"/>
      <c r="S154" s="203"/>
      <c r="T154" s="203"/>
    </row>
    <row r="155" spans="1:20" s="596" customFormat="1" ht="24" customHeight="1">
      <c r="A155" s="683"/>
      <c r="B155" s="682" t="s">
        <v>1461</v>
      </c>
      <c r="C155" s="678" t="s">
        <v>1463</v>
      </c>
      <c r="D155" s="685">
        <f>(12.1+3.8+3.1+3.5*2)*3.15</f>
        <v>81.89999999999999</v>
      </c>
      <c r="E155" s="679"/>
      <c r="F155" s="679"/>
      <c r="G155" s="680"/>
      <c r="H155" s="592"/>
      <c r="I155" s="592"/>
      <c r="J155" s="593"/>
      <c r="K155" s="593"/>
      <c r="L155" s="593"/>
      <c r="M155" s="593"/>
      <c r="N155" s="594"/>
      <c r="O155" s="595"/>
      <c r="P155" s="595"/>
      <c r="Q155" s="595"/>
      <c r="R155" s="595"/>
      <c r="S155" s="595"/>
      <c r="T155" s="595"/>
    </row>
    <row r="156" spans="1:20" s="204" customFormat="1" ht="24" customHeight="1">
      <c r="A156" s="268" t="s">
        <v>374</v>
      </c>
      <c r="B156" s="197">
        <v>612321121</v>
      </c>
      <c r="C156" s="136" t="s">
        <v>2341</v>
      </c>
      <c r="D156" s="198" t="s">
        <v>46</v>
      </c>
      <c r="E156" s="199">
        <f>SUM(D157)</f>
        <v>104.7</v>
      </c>
      <c r="F156" s="199"/>
      <c r="G156" s="200">
        <f>E156*F156</f>
        <v>0</v>
      </c>
      <c r="H156" s="201">
        <v>0.0154</v>
      </c>
      <c r="I156" s="201">
        <f>E156*H156</f>
        <v>1.6123800000000001</v>
      </c>
      <c r="J156" s="85">
        <v>0</v>
      </c>
      <c r="K156" s="85">
        <f>E156*J156</f>
        <v>0</v>
      </c>
      <c r="L156" s="85"/>
      <c r="M156" s="85"/>
      <c r="N156" s="202"/>
      <c r="O156" s="203"/>
      <c r="P156" s="203"/>
      <c r="Q156" s="203"/>
      <c r="R156" s="203"/>
      <c r="S156" s="203"/>
      <c r="T156" s="203"/>
    </row>
    <row r="157" spans="1:20" s="596" customFormat="1" ht="24" customHeight="1">
      <c r="A157" s="683"/>
      <c r="B157" s="682" t="s">
        <v>1461</v>
      </c>
      <c r="C157" s="678" t="s">
        <v>2300</v>
      </c>
      <c r="D157" s="685">
        <f>(12.1+3.8+3.1+3.5*2)*3.5+13.7</f>
        <v>104.7</v>
      </c>
      <c r="E157" s="679"/>
      <c r="F157" s="679"/>
      <c r="G157" s="680"/>
      <c r="H157" s="592"/>
      <c r="I157" s="592"/>
      <c r="J157" s="593"/>
      <c r="K157" s="593"/>
      <c r="L157" s="593"/>
      <c r="M157" s="593"/>
      <c r="N157" s="594"/>
      <c r="O157" s="595"/>
      <c r="P157" s="595"/>
      <c r="Q157" s="595"/>
      <c r="R157" s="595"/>
      <c r="S157" s="595"/>
      <c r="T157" s="595"/>
    </row>
    <row r="158" spans="1:20" s="204" customFormat="1" ht="24" customHeight="1">
      <c r="A158" s="268" t="s">
        <v>376</v>
      </c>
      <c r="B158" s="197">
        <v>612142001</v>
      </c>
      <c r="C158" s="136" t="s">
        <v>132</v>
      </c>
      <c r="D158" s="198" t="s">
        <v>46</v>
      </c>
      <c r="E158" s="199">
        <f>SUM(D159)</f>
        <v>40.7</v>
      </c>
      <c r="F158" s="199"/>
      <c r="G158" s="200">
        <f>E158*F158</f>
        <v>0</v>
      </c>
      <c r="H158" s="201">
        <v>0.00438</v>
      </c>
      <c r="I158" s="201">
        <f>E158*H158</f>
        <v>0.178266</v>
      </c>
      <c r="J158" s="85">
        <v>0</v>
      </c>
      <c r="K158" s="85">
        <f>E158*J158</f>
        <v>0</v>
      </c>
      <c r="L158" s="85"/>
      <c r="M158" s="85"/>
      <c r="N158" s="202"/>
      <c r="O158" s="203"/>
      <c r="P158" s="203"/>
      <c r="Q158" s="203"/>
      <c r="R158" s="203"/>
      <c r="S158" s="203"/>
      <c r="T158" s="203"/>
    </row>
    <row r="159" spans="1:14" s="595" customFormat="1" ht="21.75" customHeight="1">
      <c r="A159" s="683"/>
      <c r="B159" s="686" t="s">
        <v>1472</v>
      </c>
      <c r="C159" s="687" t="s">
        <v>2299</v>
      </c>
      <c r="D159" s="685">
        <f>(3+3.5*2)*2.7+13.7</f>
        <v>40.7</v>
      </c>
      <c r="E159" s="688"/>
      <c r="F159" s="688"/>
      <c r="G159" s="689"/>
      <c r="H159" s="593"/>
      <c r="I159" s="593"/>
      <c r="J159" s="593"/>
      <c r="K159" s="593"/>
      <c r="L159" s="593"/>
      <c r="M159" s="593"/>
      <c r="N159" s="594"/>
    </row>
    <row r="160" spans="1:20" s="271" customFormat="1" ht="12.75">
      <c r="A160" s="268"/>
      <c r="B160" s="269"/>
      <c r="C160" s="270"/>
      <c r="D160" s="269"/>
      <c r="E160" s="669"/>
      <c r="F160" s="669"/>
      <c r="G160" s="274"/>
      <c r="H160" s="85"/>
      <c r="I160" s="85"/>
      <c r="J160" s="85"/>
      <c r="K160" s="85"/>
      <c r="L160" s="85"/>
      <c r="M160" s="85"/>
      <c r="N160" s="202"/>
      <c r="O160" s="203"/>
      <c r="P160" s="203"/>
      <c r="Q160" s="203"/>
      <c r="R160" s="203"/>
      <c r="S160" s="203"/>
      <c r="T160" s="203"/>
    </row>
    <row r="161" spans="1:20" s="271" customFormat="1" ht="13">
      <c r="A161" s="268" t="s">
        <v>378</v>
      </c>
      <c r="B161" s="674" t="s">
        <v>1468</v>
      </c>
      <c r="C161" s="270" t="s">
        <v>1469</v>
      </c>
      <c r="D161" s="269" t="s">
        <v>46</v>
      </c>
      <c r="E161" s="199">
        <v>31.6</v>
      </c>
      <c r="F161" s="199"/>
      <c r="G161" s="200">
        <f>E161*F161</f>
        <v>0</v>
      </c>
      <c r="H161" s="85">
        <v>0.00438</v>
      </c>
      <c r="I161" s="201">
        <f>E161*H161</f>
        <v>0.138408</v>
      </c>
      <c r="J161" s="85">
        <v>0</v>
      </c>
      <c r="K161" s="85">
        <f>E161*J161</f>
        <v>0</v>
      </c>
      <c r="L161" s="85"/>
      <c r="M161" s="85"/>
      <c r="N161" s="202"/>
      <c r="O161" s="203"/>
      <c r="P161" s="203"/>
      <c r="Q161" s="203"/>
      <c r="R161" s="203"/>
      <c r="S161" s="203"/>
      <c r="T161" s="203"/>
    </row>
    <row r="162" spans="1:20" s="271" customFormat="1" ht="13">
      <c r="A162" s="268" t="s">
        <v>380</v>
      </c>
      <c r="B162" s="674" t="s">
        <v>1470</v>
      </c>
      <c r="C162" s="270" t="s">
        <v>1471</v>
      </c>
      <c r="D162" s="269" t="s">
        <v>46</v>
      </c>
      <c r="E162" s="669">
        <f>E129</f>
        <v>31.6</v>
      </c>
      <c r="F162" s="669"/>
      <c r="G162" s="200">
        <f>E162*F162</f>
        <v>0</v>
      </c>
      <c r="H162" s="85">
        <v>0.0154</v>
      </c>
      <c r="I162" s="201">
        <f>E162*H162</f>
        <v>0.48664</v>
      </c>
      <c r="J162" s="85">
        <v>0</v>
      </c>
      <c r="K162" s="85">
        <f>E162*J162</f>
        <v>0</v>
      </c>
      <c r="L162" s="85"/>
      <c r="M162" s="85"/>
      <c r="N162" s="202"/>
      <c r="O162" s="203"/>
      <c r="P162" s="203"/>
      <c r="Q162" s="203"/>
      <c r="R162" s="203"/>
      <c r="S162" s="203"/>
      <c r="T162" s="203"/>
    </row>
    <row r="163" spans="1:20" s="271" customFormat="1" ht="12.75">
      <c r="A163" s="268"/>
      <c r="B163" s="269"/>
      <c r="C163" s="270"/>
      <c r="D163" s="269"/>
      <c r="E163" s="669"/>
      <c r="F163" s="669"/>
      <c r="G163" s="274"/>
      <c r="H163" s="85"/>
      <c r="I163" s="85"/>
      <c r="J163" s="85"/>
      <c r="K163" s="85"/>
      <c r="L163" s="85"/>
      <c r="M163" s="85"/>
      <c r="N163" s="202"/>
      <c r="O163" s="203"/>
      <c r="P163" s="203"/>
      <c r="Q163" s="203"/>
      <c r="R163" s="203"/>
      <c r="S163" s="203"/>
      <c r="T163" s="203"/>
    </row>
    <row r="164" spans="1:20" s="271" customFormat="1" ht="22.5" customHeight="1">
      <c r="A164" s="268" t="s">
        <v>382</v>
      </c>
      <c r="B164" s="674" t="s">
        <v>1438</v>
      </c>
      <c r="C164" s="270" t="s">
        <v>1439</v>
      </c>
      <c r="D164" s="269" t="s">
        <v>46</v>
      </c>
      <c r="E164" s="199">
        <v>13.7</v>
      </c>
      <c r="F164" s="199"/>
      <c r="G164" s="200">
        <f>E164*F164</f>
        <v>0</v>
      </c>
      <c r="H164" s="85">
        <v>0.003</v>
      </c>
      <c r="I164" s="201">
        <f>E164*H164</f>
        <v>0.0411</v>
      </c>
      <c r="J164" s="85">
        <v>0</v>
      </c>
      <c r="K164" s="85">
        <f>E164*J164</f>
        <v>0</v>
      </c>
      <c r="L164" s="85"/>
      <c r="M164" s="85"/>
      <c r="N164" s="202"/>
      <c r="O164" s="203"/>
      <c r="P164" s="203"/>
      <c r="Q164" s="203"/>
      <c r="R164" s="203"/>
      <c r="S164" s="203"/>
      <c r="T164" s="203"/>
    </row>
    <row r="165" spans="1:20" s="271" customFormat="1" ht="12.75">
      <c r="A165" s="268"/>
      <c r="B165" s="269"/>
      <c r="C165" s="270"/>
      <c r="D165" s="269"/>
      <c r="E165" s="669"/>
      <c r="F165" s="669"/>
      <c r="G165" s="274"/>
      <c r="H165" s="85"/>
      <c r="I165" s="85"/>
      <c r="J165" s="85"/>
      <c r="K165" s="85"/>
      <c r="L165" s="85"/>
      <c r="M165" s="85"/>
      <c r="N165" s="202"/>
      <c r="O165" s="203"/>
      <c r="P165" s="203"/>
      <c r="Q165" s="203"/>
      <c r="R165" s="203"/>
      <c r="S165" s="203"/>
      <c r="T165" s="203"/>
    </row>
    <row r="166" spans="1:20" s="271" customFormat="1" ht="12.75">
      <c r="A166" s="268"/>
      <c r="B166" s="269"/>
      <c r="C166" s="254" t="s">
        <v>135</v>
      </c>
      <c r="D166" s="269"/>
      <c r="E166" s="669"/>
      <c r="F166" s="669"/>
      <c r="G166" s="274"/>
      <c r="H166" s="85"/>
      <c r="I166" s="85"/>
      <c r="J166" s="85"/>
      <c r="K166" s="85"/>
      <c r="L166" s="85"/>
      <c r="M166" s="85"/>
      <c r="N166" s="202"/>
      <c r="O166" s="203"/>
      <c r="P166" s="203"/>
      <c r="Q166" s="203"/>
      <c r="R166" s="203"/>
      <c r="S166" s="203"/>
      <c r="T166" s="203"/>
    </row>
    <row r="167" spans="1:20" s="204" customFormat="1" ht="21.75" customHeight="1">
      <c r="A167" s="268" t="s">
        <v>782</v>
      </c>
      <c r="B167" s="197">
        <v>711111002</v>
      </c>
      <c r="C167" s="136" t="s">
        <v>1478</v>
      </c>
      <c r="D167" s="198" t="s">
        <v>46</v>
      </c>
      <c r="E167" s="199">
        <f>SUM(D168)</f>
        <v>27.294999999999995</v>
      </c>
      <c r="F167" s="199"/>
      <c r="G167" s="200">
        <f>E167*F167</f>
        <v>0</v>
      </c>
      <c r="H167" s="201">
        <v>0</v>
      </c>
      <c r="I167" s="201">
        <f>E167*H167</f>
        <v>0</v>
      </c>
      <c r="J167" s="85">
        <v>0</v>
      </c>
      <c r="K167" s="85">
        <f>E167*J167</f>
        <v>0</v>
      </c>
      <c r="L167" s="85"/>
      <c r="M167" s="85"/>
      <c r="N167" s="202"/>
      <c r="O167" s="203"/>
      <c r="P167" s="203"/>
      <c r="Q167" s="203"/>
      <c r="R167" s="203"/>
      <c r="S167" s="203"/>
      <c r="T167" s="203"/>
    </row>
    <row r="168" spans="1:20" s="596" customFormat="1" ht="18" customHeight="1">
      <c r="A168" s="720"/>
      <c r="B168" s="721"/>
      <c r="C168" s="684" t="s">
        <v>1480</v>
      </c>
      <c r="D168" s="685">
        <f>23.7*1.15+0.04</f>
        <v>27.294999999999995</v>
      </c>
      <c r="E168" s="679"/>
      <c r="F168" s="679"/>
      <c r="G168" s="680"/>
      <c r="H168" s="592"/>
      <c r="I168" s="592"/>
      <c r="J168" s="593"/>
      <c r="K168" s="593"/>
      <c r="L168" s="593"/>
      <c r="M168" s="593"/>
      <c r="N168" s="594"/>
      <c r="O168" s="595"/>
      <c r="P168" s="595"/>
      <c r="Q168" s="595"/>
      <c r="R168" s="595"/>
      <c r="S168" s="595"/>
      <c r="T168" s="595"/>
    </row>
    <row r="169" spans="1:20" s="204" customFormat="1" ht="21.75" customHeight="1">
      <c r="A169" s="268" t="s">
        <v>783</v>
      </c>
      <c r="B169" s="672">
        <v>11163152</v>
      </c>
      <c r="C169" s="667" t="s">
        <v>1479</v>
      </c>
      <c r="D169" s="668" t="s">
        <v>73</v>
      </c>
      <c r="E169" s="669">
        <f>0.00039*E167</f>
        <v>0.010645049999999998</v>
      </c>
      <c r="F169" s="669"/>
      <c r="G169" s="200">
        <f aca="true" t="shared" si="3" ref="G169:G174">E169*F169</f>
        <v>0</v>
      </c>
      <c r="H169" s="201">
        <v>1</v>
      </c>
      <c r="I169" s="201">
        <f aca="true" t="shared" si="4" ref="I169:I174">E169*H169</f>
        <v>0.010645049999999998</v>
      </c>
      <c r="J169" s="85">
        <v>0</v>
      </c>
      <c r="K169" s="85">
        <f aca="true" t="shared" si="5" ref="K169:K174">E169*J169</f>
        <v>0</v>
      </c>
      <c r="L169" s="85"/>
      <c r="M169" s="85"/>
      <c r="N169" s="202"/>
      <c r="O169" s="203"/>
      <c r="P169" s="203"/>
      <c r="Q169" s="203"/>
      <c r="R169" s="203"/>
      <c r="S169" s="203"/>
      <c r="T169" s="203"/>
    </row>
    <row r="170" spans="1:20" s="204" customFormat="1" ht="30.75" customHeight="1">
      <c r="A170" s="268" t="s">
        <v>784</v>
      </c>
      <c r="B170" s="663" t="s">
        <v>179</v>
      </c>
      <c r="C170" s="666" t="s">
        <v>1421</v>
      </c>
      <c r="D170" s="664" t="s">
        <v>46</v>
      </c>
      <c r="E170" s="665">
        <f>E167</f>
        <v>27.294999999999995</v>
      </c>
      <c r="F170" s="665"/>
      <c r="G170" s="200">
        <f t="shared" si="3"/>
        <v>0</v>
      </c>
      <c r="H170" s="201">
        <v>0.000127</v>
      </c>
      <c r="I170" s="242">
        <f t="shared" si="4"/>
        <v>0.0034664649999999993</v>
      </c>
      <c r="J170" s="243">
        <v>0</v>
      </c>
      <c r="K170" s="241">
        <f t="shared" si="5"/>
        <v>0</v>
      </c>
      <c r="L170" s="85"/>
      <c r="M170" s="85"/>
      <c r="N170" s="202"/>
      <c r="O170" s="203"/>
      <c r="P170" s="203"/>
      <c r="Q170" s="203"/>
      <c r="R170" s="203"/>
      <c r="S170" s="203"/>
      <c r="T170" s="203"/>
    </row>
    <row r="171" spans="1:20" s="204" customFormat="1" ht="24" customHeight="1">
      <c r="A171" s="268" t="s">
        <v>785</v>
      </c>
      <c r="B171" s="663" t="s">
        <v>1417</v>
      </c>
      <c r="C171" s="666" t="s">
        <v>1482</v>
      </c>
      <c r="D171" s="664" t="s">
        <v>181</v>
      </c>
      <c r="E171" s="665">
        <f>E170*1.5</f>
        <v>40.942499999999995</v>
      </c>
      <c r="F171" s="665"/>
      <c r="G171" s="200">
        <f t="shared" si="3"/>
        <v>0</v>
      </c>
      <c r="H171" s="201">
        <v>0</v>
      </c>
      <c r="I171" s="242">
        <f t="shared" si="4"/>
        <v>0</v>
      </c>
      <c r="J171" s="243">
        <v>0</v>
      </c>
      <c r="K171" s="241">
        <f t="shared" si="5"/>
        <v>0</v>
      </c>
      <c r="L171" s="85"/>
      <c r="M171" s="85"/>
      <c r="N171" s="202"/>
      <c r="O171" s="203"/>
      <c r="P171" s="203"/>
      <c r="Q171" s="203"/>
      <c r="R171" s="203"/>
      <c r="S171" s="203"/>
      <c r="T171" s="203"/>
    </row>
    <row r="172" spans="1:20" s="271" customFormat="1" ht="13">
      <c r="A172" s="268" t="s">
        <v>786</v>
      </c>
      <c r="B172" s="269" t="s">
        <v>186</v>
      </c>
      <c r="C172" s="270" t="s">
        <v>1422</v>
      </c>
      <c r="D172" s="269" t="s">
        <v>46</v>
      </c>
      <c r="E172" s="669">
        <v>23.7</v>
      </c>
      <c r="F172" s="669"/>
      <c r="G172" s="200">
        <f t="shared" si="3"/>
        <v>0</v>
      </c>
      <c r="H172" s="85">
        <v>0</v>
      </c>
      <c r="I172" s="201">
        <f t="shared" si="4"/>
        <v>0</v>
      </c>
      <c r="J172" s="85">
        <v>0</v>
      </c>
      <c r="K172" s="85">
        <f t="shared" si="5"/>
        <v>0</v>
      </c>
      <c r="L172" s="85"/>
      <c r="M172" s="85"/>
      <c r="N172" s="202"/>
      <c r="O172" s="203"/>
      <c r="P172" s="203"/>
      <c r="Q172" s="203"/>
      <c r="R172" s="203"/>
      <c r="S172" s="203"/>
      <c r="T172" s="203"/>
    </row>
    <row r="173" spans="1:20" s="271" customFormat="1" ht="13">
      <c r="A173" s="268" t="s">
        <v>761</v>
      </c>
      <c r="B173" s="269" t="s">
        <v>188</v>
      </c>
      <c r="C173" s="270" t="s">
        <v>1423</v>
      </c>
      <c r="D173" s="269" t="s">
        <v>46</v>
      </c>
      <c r="E173" s="669">
        <f>2.04*23.7+0.05</f>
        <v>48.397999999999996</v>
      </c>
      <c r="F173" s="669"/>
      <c r="G173" s="200">
        <f t="shared" si="3"/>
        <v>0</v>
      </c>
      <c r="H173" s="85">
        <v>0.004896</v>
      </c>
      <c r="I173" s="201">
        <f t="shared" si="4"/>
        <v>0.23695660799999999</v>
      </c>
      <c r="J173" s="85">
        <v>0</v>
      </c>
      <c r="K173" s="85">
        <f t="shared" si="5"/>
        <v>0</v>
      </c>
      <c r="L173" s="85"/>
      <c r="M173" s="85"/>
      <c r="N173" s="202"/>
      <c r="O173" s="203"/>
      <c r="P173" s="203"/>
      <c r="Q173" s="203"/>
      <c r="R173" s="203"/>
      <c r="S173" s="203"/>
      <c r="T173" s="203"/>
    </row>
    <row r="174" spans="1:20" s="204" customFormat="1" ht="24" customHeight="1">
      <c r="A174" s="268" t="s">
        <v>787</v>
      </c>
      <c r="B174" s="197" t="s">
        <v>1424</v>
      </c>
      <c r="C174" s="136" t="s">
        <v>1425</v>
      </c>
      <c r="D174" s="198" t="s">
        <v>116</v>
      </c>
      <c r="E174" s="199">
        <f>SUM(D175)</f>
        <v>30.000000000000004</v>
      </c>
      <c r="F174" s="199"/>
      <c r="G174" s="200">
        <f t="shared" si="3"/>
        <v>0</v>
      </c>
      <c r="H174" s="201">
        <v>0</v>
      </c>
      <c r="I174" s="242">
        <f t="shared" si="4"/>
        <v>0</v>
      </c>
      <c r="J174" s="243">
        <v>0</v>
      </c>
      <c r="K174" s="241">
        <f t="shared" si="5"/>
        <v>0</v>
      </c>
      <c r="L174" s="85"/>
      <c r="M174" s="85"/>
      <c r="N174" s="202"/>
      <c r="O174" s="203"/>
      <c r="P174" s="203"/>
      <c r="Q174" s="203"/>
      <c r="R174" s="203"/>
      <c r="S174" s="203"/>
      <c r="T174" s="203"/>
    </row>
    <row r="175" spans="1:20" s="596" customFormat="1" ht="18" customHeight="1">
      <c r="A175" s="720"/>
      <c r="B175" s="721"/>
      <c r="C175" s="684" t="s">
        <v>1489</v>
      </c>
      <c r="D175" s="685">
        <f>(15.6+13.1-1.4)*1.1-0.03</f>
        <v>30.000000000000004</v>
      </c>
      <c r="E175" s="679"/>
      <c r="F175" s="679"/>
      <c r="G175" s="680"/>
      <c r="H175" s="592"/>
      <c r="I175" s="592"/>
      <c r="J175" s="593"/>
      <c r="K175" s="593"/>
      <c r="L175" s="593"/>
      <c r="M175" s="593"/>
      <c r="N175" s="594"/>
      <c r="O175" s="595"/>
      <c r="P175" s="595"/>
      <c r="Q175" s="595"/>
      <c r="R175" s="595"/>
      <c r="S175" s="595"/>
      <c r="T175" s="595"/>
    </row>
    <row r="176" spans="1:20" s="204" customFormat="1" ht="24" customHeight="1">
      <c r="A176" s="268" t="s">
        <v>1490</v>
      </c>
      <c r="B176" s="197" t="s">
        <v>1426</v>
      </c>
      <c r="C176" s="136" t="s">
        <v>1427</v>
      </c>
      <c r="D176" s="198" t="s">
        <v>116</v>
      </c>
      <c r="E176" s="199">
        <f>1.1655*E174+0.03</f>
        <v>34.995000000000005</v>
      </c>
      <c r="F176" s="199"/>
      <c r="G176" s="200">
        <f>E176*F176</f>
        <v>0</v>
      </c>
      <c r="H176" s="201">
        <v>5E-05</v>
      </c>
      <c r="I176" s="242">
        <f>E176*H176</f>
        <v>0.0017497500000000002</v>
      </c>
      <c r="J176" s="243">
        <v>0</v>
      </c>
      <c r="K176" s="241">
        <f>E176*J176</f>
        <v>0</v>
      </c>
      <c r="L176" s="85"/>
      <c r="M176" s="85"/>
      <c r="N176" s="202"/>
      <c r="O176" s="203"/>
      <c r="P176" s="203"/>
      <c r="Q176" s="203"/>
      <c r="R176" s="203"/>
      <c r="S176" s="203"/>
      <c r="T176" s="203"/>
    </row>
    <row r="177" spans="1:20" s="271" customFormat="1" ht="18.75" customHeight="1">
      <c r="A177" s="268" t="s">
        <v>1491</v>
      </c>
      <c r="B177" s="269" t="s">
        <v>177</v>
      </c>
      <c r="C177" s="270" t="s">
        <v>1477</v>
      </c>
      <c r="D177" s="269" t="s">
        <v>46</v>
      </c>
      <c r="E177" s="669">
        <f>SUM(D178)</f>
        <v>31.395</v>
      </c>
      <c r="F177" s="669"/>
      <c r="G177" s="200">
        <f>E177*F177</f>
        <v>0</v>
      </c>
      <c r="H177" s="85">
        <v>0.00013</v>
      </c>
      <c r="I177" s="201">
        <f>E177*H177</f>
        <v>0.004081349999999999</v>
      </c>
      <c r="J177" s="85">
        <v>0</v>
      </c>
      <c r="K177" s="85">
        <f>E177*J177</f>
        <v>0</v>
      </c>
      <c r="L177" s="85"/>
      <c r="M177" s="85"/>
      <c r="N177" s="202"/>
      <c r="O177" s="203"/>
      <c r="P177" s="203"/>
      <c r="Q177" s="203"/>
      <c r="R177" s="203"/>
      <c r="S177" s="203"/>
      <c r="T177" s="203"/>
    </row>
    <row r="178" spans="1:20" s="596" customFormat="1" ht="18" customHeight="1">
      <c r="A178" s="720"/>
      <c r="B178" s="721"/>
      <c r="C178" s="684" t="s">
        <v>1481</v>
      </c>
      <c r="D178" s="685">
        <f>27.3*1.15</f>
        <v>31.395</v>
      </c>
      <c r="E178" s="679"/>
      <c r="F178" s="679"/>
      <c r="G178" s="680"/>
      <c r="H178" s="592"/>
      <c r="I178" s="592"/>
      <c r="J178" s="593"/>
      <c r="K178" s="593"/>
      <c r="L178" s="593"/>
      <c r="M178" s="593"/>
      <c r="N178" s="594"/>
      <c r="O178" s="595"/>
      <c r="P178" s="595"/>
      <c r="Q178" s="595"/>
      <c r="R178" s="595"/>
      <c r="S178" s="595"/>
      <c r="T178" s="595"/>
    </row>
    <row r="179" spans="1:20" s="271" customFormat="1" ht="17.25" customHeight="1">
      <c r="A179" s="268" t="s">
        <v>1492</v>
      </c>
      <c r="B179" s="269" t="s">
        <v>144</v>
      </c>
      <c r="C179" s="270" t="s">
        <v>1112</v>
      </c>
      <c r="D179" s="269" t="s">
        <v>46</v>
      </c>
      <c r="E179" s="669">
        <v>23.7</v>
      </c>
      <c r="F179" s="669"/>
      <c r="G179" s="200">
        <f>E179*F179</f>
        <v>0</v>
      </c>
      <c r="H179" s="85">
        <v>0.11</v>
      </c>
      <c r="I179" s="201">
        <f>E179*H179</f>
        <v>2.6069999999999998</v>
      </c>
      <c r="J179" s="85">
        <v>0</v>
      </c>
      <c r="K179" s="85">
        <f>E179*J179</f>
        <v>0</v>
      </c>
      <c r="L179" s="85"/>
      <c r="M179" s="85"/>
      <c r="N179" s="202"/>
      <c r="O179" s="203"/>
      <c r="P179" s="203"/>
      <c r="Q179" s="203"/>
      <c r="R179" s="203"/>
      <c r="S179" s="203"/>
      <c r="T179" s="203"/>
    </row>
    <row r="180" spans="1:20" s="271" customFormat="1" ht="22">
      <c r="A180" s="268" t="s">
        <v>1656</v>
      </c>
      <c r="B180" s="269" t="s">
        <v>146</v>
      </c>
      <c r="C180" s="270" t="s">
        <v>1113</v>
      </c>
      <c r="D180" s="269" t="s">
        <v>46</v>
      </c>
      <c r="E180" s="669">
        <f>E179*4</f>
        <v>94.8</v>
      </c>
      <c r="F180" s="669"/>
      <c r="G180" s="200">
        <f>E180*F180</f>
        <v>0</v>
      </c>
      <c r="H180" s="85">
        <v>0.011</v>
      </c>
      <c r="I180" s="201">
        <f>E180*H180</f>
        <v>1.0428</v>
      </c>
      <c r="J180" s="85">
        <v>0</v>
      </c>
      <c r="K180" s="85">
        <f>E180*J180</f>
        <v>0</v>
      </c>
      <c r="L180" s="85"/>
      <c r="M180" s="85"/>
      <c r="N180" s="202"/>
      <c r="O180" s="203"/>
      <c r="P180" s="203"/>
      <c r="Q180" s="203"/>
      <c r="R180" s="203"/>
      <c r="S180" s="203"/>
      <c r="T180" s="203"/>
    </row>
    <row r="181" spans="1:20" s="244" customFormat="1" ht="21.75" customHeight="1">
      <c r="A181" s="268" t="s">
        <v>1493</v>
      </c>
      <c r="B181" s="197" t="s">
        <v>142</v>
      </c>
      <c r="C181" s="294" t="s">
        <v>148</v>
      </c>
      <c r="D181" s="295" t="s">
        <v>73</v>
      </c>
      <c r="E181" s="404">
        <f>SUM(D182)</f>
        <v>0.1473192</v>
      </c>
      <c r="F181" s="404"/>
      <c r="G181" s="200">
        <f>E181*F181</f>
        <v>0</v>
      </c>
      <c r="H181" s="242">
        <v>1.06277</v>
      </c>
      <c r="I181" s="242">
        <f>E181*H181</f>
        <v>0.15656642618400002</v>
      </c>
      <c r="J181" s="243">
        <v>0</v>
      </c>
      <c r="K181" s="243">
        <f>E181*J181</f>
        <v>0</v>
      </c>
      <c r="L181" s="243"/>
      <c r="M181" s="243"/>
      <c r="N181" s="405"/>
      <c r="O181" s="406"/>
      <c r="P181" s="406"/>
      <c r="Q181" s="406"/>
      <c r="R181" s="406"/>
      <c r="S181" s="406"/>
      <c r="T181" s="406"/>
    </row>
    <row r="182" spans="1:20" s="214" customFormat="1" ht="15" customHeight="1">
      <c r="A182" s="196"/>
      <c r="B182" s="205"/>
      <c r="C182" s="206" t="s">
        <v>1690</v>
      </c>
      <c r="D182" s="207">
        <f>23.7*5.18*1.2*0.001</f>
        <v>0.1473192</v>
      </c>
      <c r="E182" s="208"/>
      <c r="F182" s="208"/>
      <c r="G182" s="209"/>
      <c r="H182" s="210"/>
      <c r="I182" s="210"/>
      <c r="J182" s="211"/>
      <c r="K182" s="85"/>
      <c r="L182" s="211"/>
      <c r="M182" s="211"/>
      <c r="N182" s="212"/>
      <c r="O182" s="213"/>
      <c r="P182" s="213"/>
      <c r="Q182" s="213"/>
      <c r="R182" s="213"/>
      <c r="S182" s="213"/>
      <c r="T182" s="213"/>
    </row>
    <row r="183" spans="1:20" s="271" customFormat="1" ht="12.75">
      <c r="A183" s="268"/>
      <c r="B183" s="269"/>
      <c r="C183" s="270"/>
      <c r="D183" s="269"/>
      <c r="E183" s="669"/>
      <c r="F183" s="669"/>
      <c r="G183" s="274"/>
      <c r="H183" s="85"/>
      <c r="I183" s="85"/>
      <c r="J183" s="85"/>
      <c r="K183" s="85"/>
      <c r="L183" s="85"/>
      <c r="M183" s="85"/>
      <c r="N183" s="202"/>
      <c r="O183" s="203"/>
      <c r="P183" s="203"/>
      <c r="Q183" s="203"/>
      <c r="R183" s="203"/>
      <c r="S183" s="203"/>
      <c r="T183" s="203"/>
    </row>
    <row r="184" spans="1:20" s="267" customFormat="1" ht="27" customHeight="1">
      <c r="A184" s="280"/>
      <c r="B184" s="275"/>
      <c r="C184" s="281" t="s">
        <v>152</v>
      </c>
      <c r="D184" s="282"/>
      <c r="E184" s="283"/>
      <c r="F184" s="283"/>
      <c r="G184" s="284"/>
      <c r="H184" s="285"/>
      <c r="I184" s="285"/>
      <c r="J184" s="264"/>
      <c r="K184" s="264"/>
      <c r="L184" s="264"/>
      <c r="M184" s="264"/>
      <c r="N184" s="265"/>
      <c r="O184" s="266"/>
      <c r="P184" s="266"/>
      <c r="Q184" s="266"/>
      <c r="R184" s="266"/>
      <c r="S184" s="266"/>
      <c r="T184" s="266"/>
    </row>
    <row r="185" spans="1:20" s="271" customFormat="1" ht="27" customHeight="1">
      <c r="A185" s="268" t="s">
        <v>1494</v>
      </c>
      <c r="B185" s="674">
        <v>71311111</v>
      </c>
      <c r="C185" s="691" t="s">
        <v>1484</v>
      </c>
      <c r="D185" s="674" t="s">
        <v>46</v>
      </c>
      <c r="E185" s="669">
        <v>22.8</v>
      </c>
      <c r="F185" s="669"/>
      <c r="G185" s="200">
        <f>E185*F185</f>
        <v>0</v>
      </c>
      <c r="H185" s="85">
        <v>0</v>
      </c>
      <c r="I185" s="201">
        <f>E185*H185</f>
        <v>0</v>
      </c>
      <c r="J185" s="85">
        <v>0</v>
      </c>
      <c r="K185" s="85">
        <f>E185*J185</f>
        <v>0</v>
      </c>
      <c r="L185" s="85"/>
      <c r="M185" s="85"/>
      <c r="N185" s="202"/>
      <c r="O185" s="203"/>
      <c r="P185" s="203"/>
      <c r="Q185" s="203"/>
      <c r="R185" s="203"/>
      <c r="S185" s="203"/>
      <c r="T185" s="203"/>
    </row>
    <row r="186" spans="1:20" s="271" customFormat="1" ht="18" customHeight="1">
      <c r="A186" s="268" t="s">
        <v>1495</v>
      </c>
      <c r="B186" s="674">
        <v>63150983</v>
      </c>
      <c r="C186" s="691" t="s">
        <v>1485</v>
      </c>
      <c r="D186" s="674" t="s">
        <v>46</v>
      </c>
      <c r="E186" s="669">
        <f>1.02*E185</f>
        <v>23.256</v>
      </c>
      <c r="F186" s="669"/>
      <c r="G186" s="200">
        <f>E186*F186</f>
        <v>0</v>
      </c>
      <c r="H186" s="85">
        <v>0.0036</v>
      </c>
      <c r="I186" s="201">
        <f>E186*H186</f>
        <v>0.0837216</v>
      </c>
      <c r="J186" s="85">
        <v>0</v>
      </c>
      <c r="K186" s="85">
        <f>E186*J186</f>
        <v>0</v>
      </c>
      <c r="L186" s="85"/>
      <c r="M186" s="85"/>
      <c r="N186" s="202"/>
      <c r="O186" s="203"/>
      <c r="P186" s="203"/>
      <c r="Q186" s="203"/>
      <c r="R186" s="203"/>
      <c r="S186" s="203"/>
      <c r="T186" s="203"/>
    </row>
    <row r="187" spans="1:20" s="271" customFormat="1" ht="18" customHeight="1">
      <c r="A187" s="268" t="s">
        <v>1496</v>
      </c>
      <c r="B187" s="674">
        <v>713291132</v>
      </c>
      <c r="C187" s="691" t="s">
        <v>1486</v>
      </c>
      <c r="D187" s="674" t="s">
        <v>46</v>
      </c>
      <c r="E187" s="669">
        <f>22.8*1.1+0.02</f>
        <v>25.1</v>
      </c>
      <c r="F187" s="669"/>
      <c r="G187" s="200">
        <f>E187*F187</f>
        <v>0</v>
      </c>
      <c r="H187" s="85">
        <v>0</v>
      </c>
      <c r="I187" s="201">
        <f>E187*H187</f>
        <v>0</v>
      </c>
      <c r="J187" s="85">
        <v>0</v>
      </c>
      <c r="K187" s="85">
        <f>E187*J187</f>
        <v>0</v>
      </c>
      <c r="L187" s="85"/>
      <c r="M187" s="85"/>
      <c r="N187" s="202"/>
      <c r="O187" s="203"/>
      <c r="P187" s="203"/>
      <c r="Q187" s="203"/>
      <c r="R187" s="203"/>
      <c r="S187" s="203"/>
      <c r="T187" s="203"/>
    </row>
    <row r="188" spans="1:20" s="271" customFormat="1" ht="18" customHeight="1">
      <c r="A188" s="268" t="s">
        <v>760</v>
      </c>
      <c r="B188" s="674">
        <v>28329012</v>
      </c>
      <c r="C188" s="691" t="s">
        <v>1487</v>
      </c>
      <c r="D188" s="674" t="s">
        <v>46</v>
      </c>
      <c r="E188" s="669">
        <f>1.1655*E187</f>
        <v>29.25405</v>
      </c>
      <c r="F188" s="669"/>
      <c r="G188" s="200">
        <f>E188*F188</f>
        <v>0</v>
      </c>
      <c r="H188" s="85">
        <v>0.00014</v>
      </c>
      <c r="I188" s="201">
        <f>E188*H188</f>
        <v>0.004095567</v>
      </c>
      <c r="J188" s="85">
        <v>0</v>
      </c>
      <c r="K188" s="85">
        <f>E188*J188</f>
        <v>0</v>
      </c>
      <c r="L188" s="85"/>
      <c r="M188" s="85"/>
      <c r="N188" s="202"/>
      <c r="O188" s="203"/>
      <c r="P188" s="203"/>
      <c r="Q188" s="203"/>
      <c r="R188" s="203"/>
      <c r="S188" s="203"/>
      <c r="T188" s="203"/>
    </row>
    <row r="189" spans="1:20" s="271" customFormat="1" ht="12.75">
      <c r="A189" s="690"/>
      <c r="B189" s="674"/>
      <c r="C189" s="691"/>
      <c r="D189" s="674"/>
      <c r="E189" s="669"/>
      <c r="F189" s="669"/>
      <c r="G189" s="692"/>
      <c r="H189" s="85"/>
      <c r="I189" s="85"/>
      <c r="J189" s="85"/>
      <c r="K189" s="85"/>
      <c r="L189" s="85"/>
      <c r="M189" s="85"/>
      <c r="N189" s="202"/>
      <c r="O189" s="203"/>
      <c r="P189" s="203"/>
      <c r="Q189" s="203"/>
      <c r="R189" s="203"/>
      <c r="S189" s="203"/>
      <c r="T189" s="203"/>
    </row>
    <row r="190" spans="1:20" s="271" customFormat="1" ht="22">
      <c r="A190" s="268" t="s">
        <v>1657</v>
      </c>
      <c r="B190" s="674" t="s">
        <v>1483</v>
      </c>
      <c r="C190" s="691" t="s">
        <v>1488</v>
      </c>
      <c r="D190" s="674" t="s">
        <v>46</v>
      </c>
      <c r="E190" s="669">
        <v>22.8</v>
      </c>
      <c r="F190" s="669"/>
      <c r="G190" s="200">
        <f>E190*F190</f>
        <v>0</v>
      </c>
      <c r="H190" s="85">
        <v>0.01259</v>
      </c>
      <c r="I190" s="201">
        <f>E190*H190</f>
        <v>0.28705200000000003</v>
      </c>
      <c r="J190" s="85">
        <v>0</v>
      </c>
      <c r="K190" s="85">
        <f>E190*J190</f>
        <v>0</v>
      </c>
      <c r="L190" s="85"/>
      <c r="M190" s="85"/>
      <c r="N190" s="202"/>
      <c r="O190" s="203"/>
      <c r="P190" s="203"/>
      <c r="Q190" s="203"/>
      <c r="R190" s="203"/>
      <c r="S190" s="203"/>
      <c r="T190" s="203"/>
    </row>
    <row r="191" spans="1:20" s="271" customFormat="1" ht="13">
      <c r="A191" s="961"/>
      <c r="B191" s="955"/>
      <c r="C191" s="960"/>
      <c r="D191" s="957"/>
      <c r="E191" s="958"/>
      <c r="F191" s="958"/>
      <c r="G191" s="959"/>
      <c r="H191" s="85"/>
      <c r="I191" s="201"/>
      <c r="J191" s="85"/>
      <c r="K191" s="85"/>
      <c r="L191" s="85"/>
      <c r="M191" s="85"/>
      <c r="N191" s="202"/>
      <c r="O191" s="203"/>
      <c r="P191" s="203"/>
      <c r="Q191" s="203"/>
      <c r="R191" s="203"/>
      <c r="S191" s="203"/>
      <c r="T191" s="203"/>
    </row>
    <row r="192" spans="1:20" s="271" customFormat="1" ht="30" customHeight="1">
      <c r="A192" s="961" t="s">
        <v>1658</v>
      </c>
      <c r="B192" s="957" t="s">
        <v>2340</v>
      </c>
      <c r="C192" s="956" t="s">
        <v>2329</v>
      </c>
      <c r="D192" s="957" t="s">
        <v>175</v>
      </c>
      <c r="E192" s="958">
        <v>1</v>
      </c>
      <c r="F192" s="958"/>
      <c r="G192" s="200">
        <f>E192*F192</f>
        <v>0</v>
      </c>
      <c r="H192" s="85">
        <v>0</v>
      </c>
      <c r="I192" s="201">
        <f>E192*H192</f>
        <v>0</v>
      </c>
      <c r="J192" s="85">
        <v>0</v>
      </c>
      <c r="K192" s="85">
        <f aca="true" t="shared" si="6" ref="K192:K193">E192*J192</f>
        <v>0</v>
      </c>
      <c r="L192" s="85"/>
      <c r="M192" s="85"/>
      <c r="N192" s="202"/>
      <c r="O192" s="203"/>
      <c r="P192" s="203"/>
      <c r="Q192" s="203"/>
      <c r="R192" s="203"/>
      <c r="S192" s="203"/>
      <c r="T192" s="203"/>
    </row>
    <row r="193" spans="1:20" s="271" customFormat="1" ht="19.5" customHeight="1">
      <c r="A193" s="961" t="s">
        <v>1659</v>
      </c>
      <c r="B193" s="957" t="s">
        <v>2338</v>
      </c>
      <c r="C193" s="956" t="s">
        <v>2330</v>
      </c>
      <c r="D193" s="957" t="s">
        <v>175</v>
      </c>
      <c r="E193" s="958">
        <v>1</v>
      </c>
      <c r="F193" s="958"/>
      <c r="G193" s="200">
        <f>E193*F193</f>
        <v>0</v>
      </c>
      <c r="H193" s="85">
        <v>0.001</v>
      </c>
      <c r="I193" s="201">
        <f>E193*H193</f>
        <v>0.001</v>
      </c>
      <c r="J193" s="85">
        <v>0</v>
      </c>
      <c r="K193" s="85">
        <f t="shared" si="6"/>
        <v>0</v>
      </c>
      <c r="L193" s="85"/>
      <c r="M193" s="85"/>
      <c r="N193" s="202"/>
      <c r="O193" s="203"/>
      <c r="P193" s="203"/>
      <c r="Q193" s="203"/>
      <c r="R193" s="203"/>
      <c r="S193" s="203"/>
      <c r="T193" s="203"/>
    </row>
    <row r="194" spans="1:20" s="271" customFormat="1" ht="13">
      <c r="A194" s="961"/>
      <c r="B194" s="957"/>
      <c r="C194" s="956"/>
      <c r="D194" s="957"/>
      <c r="E194" s="958"/>
      <c r="F194" s="958"/>
      <c r="G194" s="959"/>
      <c r="H194" s="85"/>
      <c r="I194" s="201"/>
      <c r="J194" s="85"/>
      <c r="K194" s="85"/>
      <c r="L194" s="85"/>
      <c r="M194" s="85"/>
      <c r="N194" s="202"/>
      <c r="O194" s="203"/>
      <c r="P194" s="203"/>
      <c r="Q194" s="203"/>
      <c r="R194" s="203"/>
      <c r="S194" s="203"/>
      <c r="T194" s="203"/>
    </row>
    <row r="195" spans="1:20" s="271" customFormat="1" ht="29.25" customHeight="1">
      <c r="A195" s="268" t="s">
        <v>1660</v>
      </c>
      <c r="B195" s="957">
        <v>763172353</v>
      </c>
      <c r="C195" s="956" t="s">
        <v>2331</v>
      </c>
      <c r="D195" s="957" t="s">
        <v>175</v>
      </c>
      <c r="E195" s="958">
        <v>3</v>
      </c>
      <c r="F195" s="958"/>
      <c r="G195" s="200">
        <f aca="true" t="shared" si="7" ref="G195:G196">E195*F195</f>
        <v>0</v>
      </c>
      <c r="H195" s="85">
        <v>0</v>
      </c>
      <c r="I195" s="201">
        <f>E195*H195</f>
        <v>0</v>
      </c>
      <c r="J195" s="85">
        <v>0</v>
      </c>
      <c r="K195" s="85">
        <f>E195*J195</f>
        <v>0</v>
      </c>
      <c r="L195" s="85"/>
      <c r="M195" s="85"/>
      <c r="N195" s="202"/>
      <c r="O195" s="203"/>
      <c r="P195" s="203"/>
      <c r="Q195" s="203"/>
      <c r="R195" s="203"/>
      <c r="S195" s="203"/>
      <c r="T195" s="203"/>
    </row>
    <row r="196" spans="1:20" s="271" customFormat="1" ht="19.5" customHeight="1">
      <c r="A196" s="268" t="s">
        <v>1661</v>
      </c>
      <c r="B196" s="957" t="s">
        <v>2339</v>
      </c>
      <c r="C196" s="956" t="s">
        <v>2332</v>
      </c>
      <c r="D196" s="957" t="s">
        <v>175</v>
      </c>
      <c r="E196" s="958">
        <v>3</v>
      </c>
      <c r="F196" s="958"/>
      <c r="G196" s="200">
        <f t="shared" si="7"/>
        <v>0</v>
      </c>
      <c r="H196" s="85">
        <v>0.002</v>
      </c>
      <c r="I196" s="201">
        <f>E196*H196</f>
        <v>0.006</v>
      </c>
      <c r="J196" s="85">
        <v>0</v>
      </c>
      <c r="K196" s="85">
        <f>E196*J196</f>
        <v>0</v>
      </c>
      <c r="L196" s="85"/>
      <c r="M196" s="85"/>
      <c r="N196" s="202"/>
      <c r="O196" s="203"/>
      <c r="P196" s="203"/>
      <c r="Q196" s="203"/>
      <c r="R196" s="203"/>
      <c r="S196" s="203"/>
      <c r="T196" s="203"/>
    </row>
    <row r="197" spans="1:20" s="204" customFormat="1" ht="14" thickBot="1">
      <c r="A197" s="286"/>
      <c r="B197" s="219"/>
      <c r="C197" s="220"/>
      <c r="D197" s="221"/>
      <c r="E197" s="223"/>
      <c r="F197" s="223"/>
      <c r="G197" s="287"/>
      <c r="H197" s="85"/>
      <c r="I197" s="85"/>
      <c r="J197" s="85"/>
      <c r="K197" s="85"/>
      <c r="L197" s="85"/>
      <c r="M197" s="85"/>
      <c r="N197" s="202"/>
      <c r="O197" s="203"/>
      <c r="P197" s="203"/>
      <c r="Q197" s="203"/>
      <c r="R197" s="203"/>
      <c r="S197" s="203"/>
      <c r="T197" s="203"/>
    </row>
    <row r="198" spans="1:7" ht="13" thickBot="1">
      <c r="A198" s="225"/>
      <c r="B198" s="226"/>
      <c r="C198" s="227" t="s">
        <v>113</v>
      </c>
      <c r="D198" s="226"/>
      <c r="E198" s="228"/>
      <c r="F198" s="229"/>
      <c r="G198" s="230">
        <f>SUBTOTAL(9,G137:G197)</f>
        <v>0</v>
      </c>
    </row>
    <row r="199" spans="1:7" ht="13" thickBot="1">
      <c r="A199" s="179"/>
      <c r="B199" s="180"/>
      <c r="C199" s="180"/>
      <c r="D199" s="180"/>
      <c r="E199" s="180"/>
      <c r="F199" s="180"/>
      <c r="G199" s="181"/>
    </row>
    <row r="200" spans="1:7" ht="13" thickBot="1">
      <c r="A200" s="182" t="s">
        <v>170</v>
      </c>
      <c r="B200" s="183"/>
      <c r="C200" s="184" t="s">
        <v>154</v>
      </c>
      <c r="D200" s="185"/>
      <c r="E200" s="186"/>
      <c r="F200" s="187"/>
      <c r="G200" s="188"/>
    </row>
    <row r="201" spans="1:7" ht="12.75">
      <c r="A201" s="189"/>
      <c r="B201" s="231"/>
      <c r="C201" s="232"/>
      <c r="D201" s="233"/>
      <c r="E201" s="234"/>
      <c r="F201" s="235"/>
      <c r="G201" s="236"/>
    </row>
    <row r="202" spans="1:20" s="267" customFormat="1" ht="18.75" customHeight="1">
      <c r="A202" s="288"/>
      <c r="B202" s="289"/>
      <c r="C202" s="281" t="s">
        <v>155</v>
      </c>
      <c r="D202" s="282"/>
      <c r="E202" s="283"/>
      <c r="F202" s="283"/>
      <c r="G202" s="284"/>
      <c r="H202" s="285"/>
      <c r="I202" s="285"/>
      <c r="J202" s="264"/>
      <c r="K202" s="264"/>
      <c r="L202" s="264"/>
      <c r="M202" s="264"/>
      <c r="N202" s="265"/>
      <c r="O202" s="266"/>
      <c r="P202" s="266"/>
      <c r="Q202" s="266"/>
      <c r="R202" s="266"/>
      <c r="S202" s="266"/>
      <c r="T202" s="266"/>
    </row>
    <row r="203" spans="1:20" s="204" customFormat="1" ht="147" customHeight="1">
      <c r="A203" s="196" t="s">
        <v>171</v>
      </c>
      <c r="B203" s="290" t="s">
        <v>157</v>
      </c>
      <c r="C203" s="136" t="s">
        <v>2342</v>
      </c>
      <c r="D203" s="198" t="s">
        <v>158</v>
      </c>
      <c r="E203" s="199">
        <v>2</v>
      </c>
      <c r="F203" s="199"/>
      <c r="G203" s="200">
        <f>E203*F203</f>
        <v>0</v>
      </c>
      <c r="H203" s="201"/>
      <c r="I203" s="201"/>
      <c r="J203" s="85"/>
      <c r="K203" s="85"/>
      <c r="L203" s="85"/>
      <c r="M203" s="85"/>
      <c r="N203" s="202"/>
      <c r="O203" s="203"/>
      <c r="P203" s="203"/>
      <c r="Q203" s="203"/>
      <c r="R203" s="203"/>
      <c r="S203" s="203"/>
      <c r="T203" s="203"/>
    </row>
    <row r="204" spans="1:20" s="204" customFormat="1" ht="10.5" customHeight="1">
      <c r="A204" s="196"/>
      <c r="B204" s="219"/>
      <c r="C204" s="136"/>
      <c r="D204" s="198"/>
      <c r="E204" s="199"/>
      <c r="F204" s="199"/>
      <c r="G204" s="279"/>
      <c r="H204" s="201"/>
      <c r="I204" s="201"/>
      <c r="J204" s="85"/>
      <c r="K204" s="85"/>
      <c r="L204" s="85"/>
      <c r="M204" s="85"/>
      <c r="N204" s="202"/>
      <c r="O204" s="203"/>
      <c r="P204" s="203"/>
      <c r="Q204" s="203"/>
      <c r="R204" s="203"/>
      <c r="S204" s="203"/>
      <c r="T204" s="203"/>
    </row>
    <row r="205" spans="1:20" s="204" customFormat="1" ht="177.75" customHeight="1">
      <c r="A205" s="196" t="s">
        <v>172</v>
      </c>
      <c r="B205" s="290" t="s">
        <v>160</v>
      </c>
      <c r="C205" s="136" t="s">
        <v>1474</v>
      </c>
      <c r="D205" s="198" t="s">
        <v>161</v>
      </c>
      <c r="E205" s="199">
        <v>1</v>
      </c>
      <c r="F205" s="199"/>
      <c r="G205" s="200">
        <f>E205*F205</f>
        <v>0</v>
      </c>
      <c r="H205" s="201"/>
      <c r="I205" s="201"/>
      <c r="J205" s="85"/>
      <c r="K205" s="85"/>
      <c r="L205" s="85"/>
      <c r="M205" s="85"/>
      <c r="N205" s="202"/>
      <c r="O205" s="203"/>
      <c r="P205" s="203"/>
      <c r="Q205" s="203"/>
      <c r="R205" s="203"/>
      <c r="S205" s="203"/>
      <c r="T205" s="203"/>
    </row>
    <row r="206" spans="1:20" s="204" customFormat="1" ht="12.75" customHeight="1">
      <c r="A206" s="196"/>
      <c r="B206" s="219"/>
      <c r="C206" s="136"/>
      <c r="D206" s="198"/>
      <c r="E206" s="199"/>
      <c r="F206" s="199"/>
      <c r="G206" s="279"/>
      <c r="H206" s="201"/>
      <c r="I206" s="201"/>
      <c r="J206" s="85"/>
      <c r="K206" s="85"/>
      <c r="L206" s="85"/>
      <c r="M206" s="85"/>
      <c r="N206" s="202"/>
      <c r="O206" s="203"/>
      <c r="P206" s="203"/>
      <c r="Q206" s="203"/>
      <c r="R206" s="203"/>
      <c r="S206" s="203"/>
      <c r="T206" s="203"/>
    </row>
    <row r="207" spans="1:20" s="204" customFormat="1" ht="115.5" customHeight="1">
      <c r="A207" s="196" t="s">
        <v>173</v>
      </c>
      <c r="B207" s="290" t="s">
        <v>163</v>
      </c>
      <c r="C207" s="136" t="s">
        <v>1473</v>
      </c>
      <c r="D207" s="198" t="s">
        <v>161</v>
      </c>
      <c r="E207" s="199">
        <v>1</v>
      </c>
      <c r="F207" s="199"/>
      <c r="G207" s="200">
        <f>E207*F207</f>
        <v>0</v>
      </c>
      <c r="H207" s="201"/>
      <c r="I207" s="201"/>
      <c r="J207" s="85"/>
      <c r="K207" s="85"/>
      <c r="L207" s="85"/>
      <c r="M207" s="85"/>
      <c r="N207" s="202"/>
      <c r="O207" s="203"/>
      <c r="P207" s="203"/>
      <c r="Q207" s="203"/>
      <c r="R207" s="203"/>
      <c r="S207" s="203"/>
      <c r="T207" s="203"/>
    </row>
    <row r="208" spans="1:20" s="204" customFormat="1" ht="15" customHeight="1">
      <c r="A208" s="196"/>
      <c r="B208" s="219"/>
      <c r="C208" s="136"/>
      <c r="D208" s="198"/>
      <c r="E208" s="199"/>
      <c r="F208" s="199"/>
      <c r="G208" s="279"/>
      <c r="H208" s="201"/>
      <c r="I208" s="201"/>
      <c r="J208" s="85"/>
      <c r="K208" s="85"/>
      <c r="L208" s="85"/>
      <c r="M208" s="85"/>
      <c r="N208" s="202"/>
      <c r="O208" s="203"/>
      <c r="P208" s="203"/>
      <c r="Q208" s="203"/>
      <c r="R208" s="203"/>
      <c r="S208" s="203"/>
      <c r="T208" s="203"/>
    </row>
    <row r="209" spans="1:20" s="204" customFormat="1" ht="174.75" customHeight="1">
      <c r="A209" s="196" t="s">
        <v>174</v>
      </c>
      <c r="B209" s="290" t="s">
        <v>165</v>
      </c>
      <c r="C209" s="136" t="s">
        <v>1475</v>
      </c>
      <c r="D209" s="198" t="s">
        <v>161</v>
      </c>
      <c r="E209" s="278">
        <v>1</v>
      </c>
      <c r="F209" s="199"/>
      <c r="G209" s="200">
        <f>E209*F209</f>
        <v>0</v>
      </c>
      <c r="H209" s="201"/>
      <c r="I209" s="201"/>
      <c r="J209" s="85"/>
      <c r="K209" s="85"/>
      <c r="L209" s="85"/>
      <c r="M209" s="85"/>
      <c r="N209" s="202"/>
      <c r="O209" s="203"/>
      <c r="P209" s="203"/>
      <c r="Q209" s="203"/>
      <c r="R209" s="203"/>
      <c r="S209" s="203"/>
      <c r="T209" s="203"/>
    </row>
    <row r="210" spans="1:7" ht="14" thickBot="1">
      <c r="A210" s="218"/>
      <c r="B210" s="219"/>
      <c r="C210" s="220"/>
      <c r="D210" s="221"/>
      <c r="E210" s="222"/>
      <c r="F210" s="223"/>
      <c r="G210" s="224"/>
    </row>
    <row r="211" spans="1:7" ht="13" thickBot="1">
      <c r="A211" s="225"/>
      <c r="B211" s="226"/>
      <c r="C211" s="227" t="s">
        <v>113</v>
      </c>
      <c r="D211" s="226"/>
      <c r="E211" s="228"/>
      <c r="F211" s="229"/>
      <c r="G211" s="230">
        <f>SUBTOTAL(9,G201:G210)</f>
        <v>0</v>
      </c>
    </row>
    <row r="212" spans="1:7" ht="13" thickBot="1">
      <c r="A212" s="179"/>
      <c r="B212" s="180"/>
      <c r="C212" s="180"/>
      <c r="D212" s="180"/>
      <c r="E212" s="180"/>
      <c r="F212" s="180"/>
      <c r="G212" s="181"/>
    </row>
    <row r="213" spans="1:7" ht="13" thickBot="1">
      <c r="A213" s="182" t="s">
        <v>183</v>
      </c>
      <c r="B213" s="183"/>
      <c r="C213" s="184" t="s">
        <v>167</v>
      </c>
      <c r="D213" s="185"/>
      <c r="E213" s="186"/>
      <c r="F213" s="187"/>
      <c r="G213" s="188"/>
    </row>
    <row r="214" spans="1:7" ht="12.75">
      <c r="A214" s="189"/>
      <c r="B214" s="231"/>
      <c r="C214" s="232"/>
      <c r="D214" s="233"/>
      <c r="E214" s="234"/>
      <c r="F214" s="235"/>
      <c r="G214" s="236"/>
    </row>
    <row r="215" spans="1:20" s="271" customFormat="1" ht="19.5" customHeight="1">
      <c r="A215" s="268" t="s">
        <v>185</v>
      </c>
      <c r="B215" s="674" t="s">
        <v>169</v>
      </c>
      <c r="C215" s="691" t="s">
        <v>1114</v>
      </c>
      <c r="D215" s="674" t="s">
        <v>73</v>
      </c>
      <c r="E215" s="669">
        <f>I215</f>
        <v>36.97531069702801</v>
      </c>
      <c r="F215" s="669"/>
      <c r="G215" s="200">
        <f>E215*F215</f>
        <v>0</v>
      </c>
      <c r="H215" s="85"/>
      <c r="I215" s="722">
        <f>SUM(I86:I190)</f>
        <v>36.97531069702801</v>
      </c>
      <c r="J215" s="85"/>
      <c r="K215" s="85"/>
      <c r="L215" s="85"/>
      <c r="M215" s="85"/>
      <c r="N215" s="202"/>
      <c r="O215" s="203"/>
      <c r="P215" s="203"/>
      <c r="Q215" s="203"/>
      <c r="R215" s="203"/>
      <c r="S215" s="203"/>
      <c r="T215" s="203"/>
    </row>
    <row r="216" spans="1:7" ht="14" thickBot="1">
      <c r="A216" s="218"/>
      <c r="B216" s="219"/>
      <c r="C216" s="220"/>
      <c r="D216" s="221"/>
      <c r="E216" s="222"/>
      <c r="F216" s="223"/>
      <c r="G216" s="224"/>
    </row>
    <row r="217" spans="1:7" ht="13" thickBot="1">
      <c r="A217" s="225"/>
      <c r="B217" s="226"/>
      <c r="C217" s="227" t="s">
        <v>113</v>
      </c>
      <c r="D217" s="226"/>
      <c r="E217" s="228"/>
      <c r="F217" s="229"/>
      <c r="G217" s="230">
        <f>SUBTOTAL(9,G214:G216)</f>
        <v>0</v>
      </c>
    </row>
    <row r="218" spans="1:7" ht="13" thickBot="1">
      <c r="A218" s="179"/>
      <c r="B218" s="180"/>
      <c r="C218" s="180"/>
      <c r="D218" s="180"/>
      <c r="E218" s="180"/>
      <c r="F218" s="180"/>
      <c r="G218" s="181"/>
    </row>
    <row r="219" spans="1:7" ht="13" thickBot="1">
      <c r="A219" s="182" t="s">
        <v>139</v>
      </c>
      <c r="B219" s="183"/>
      <c r="C219" s="184" t="s">
        <v>191</v>
      </c>
      <c r="D219" s="185"/>
      <c r="E219" s="186"/>
      <c r="F219" s="187"/>
      <c r="G219" s="188"/>
    </row>
    <row r="220" spans="1:7" ht="12.75">
      <c r="A220" s="189"/>
      <c r="B220" s="231"/>
      <c r="C220" s="232"/>
      <c r="D220" s="233"/>
      <c r="E220" s="234"/>
      <c r="F220" s="235"/>
      <c r="G220" s="236"/>
    </row>
    <row r="221" spans="1:20" s="271" customFormat="1" ht="24" customHeight="1">
      <c r="A221" s="268" t="s">
        <v>192</v>
      </c>
      <c r="B221" s="674">
        <v>771591112</v>
      </c>
      <c r="C221" s="691" t="s">
        <v>1428</v>
      </c>
      <c r="D221" s="674" t="s">
        <v>46</v>
      </c>
      <c r="E221" s="669">
        <v>23.7</v>
      </c>
      <c r="F221" s="669"/>
      <c r="G221" s="670">
        <f>E221*F221</f>
        <v>0</v>
      </c>
      <c r="H221" s="85">
        <v>0.0015</v>
      </c>
      <c r="I221" s="201">
        <f>E221*H221</f>
        <v>0.03555</v>
      </c>
      <c r="J221" s="85">
        <v>0</v>
      </c>
      <c r="K221" s="85">
        <f>E221*J221</f>
        <v>0</v>
      </c>
      <c r="L221" s="85"/>
      <c r="M221" s="85"/>
      <c r="N221" s="202"/>
      <c r="O221" s="203"/>
      <c r="P221" s="203"/>
      <c r="Q221" s="203"/>
      <c r="R221" s="203"/>
      <c r="S221" s="203"/>
      <c r="T221" s="203"/>
    </row>
    <row r="222" spans="1:20" s="204" customFormat="1" ht="32.25" customHeight="1">
      <c r="A222" s="268" t="s">
        <v>193</v>
      </c>
      <c r="B222" s="305" t="s">
        <v>1117</v>
      </c>
      <c r="C222" s="306" t="s">
        <v>1118</v>
      </c>
      <c r="D222" s="305" t="s">
        <v>46</v>
      </c>
      <c r="E222" s="199">
        <v>23.7</v>
      </c>
      <c r="F222" s="199"/>
      <c r="G222" s="670">
        <f>E222*F222</f>
        <v>0</v>
      </c>
      <c r="H222" s="85">
        <v>0.009</v>
      </c>
      <c r="I222" s="201">
        <f>E222*H222</f>
        <v>0.2133</v>
      </c>
      <c r="J222" s="85"/>
      <c r="K222" s="85"/>
      <c r="L222" s="85"/>
      <c r="M222" s="85"/>
      <c r="N222" s="202"/>
      <c r="O222" s="203"/>
      <c r="P222" s="203"/>
      <c r="Q222" s="203"/>
      <c r="R222" s="203"/>
      <c r="S222" s="203"/>
      <c r="T222" s="203"/>
    </row>
    <row r="223" spans="1:20" s="204" customFormat="1" ht="29.25" customHeight="1">
      <c r="A223" s="268" t="s">
        <v>194</v>
      </c>
      <c r="B223" s="197" t="s">
        <v>1119</v>
      </c>
      <c r="C223" s="136" t="s">
        <v>1497</v>
      </c>
      <c r="D223" s="198" t="s">
        <v>46</v>
      </c>
      <c r="E223" s="199">
        <f>1.15*E222</f>
        <v>27.254999999999995</v>
      </c>
      <c r="F223" s="199"/>
      <c r="G223" s="200">
        <f>E223*F223</f>
        <v>0</v>
      </c>
      <c r="H223" s="201">
        <v>0.02415</v>
      </c>
      <c r="I223" s="201">
        <f>E223*H223</f>
        <v>0.6582082499999999</v>
      </c>
      <c r="J223" s="85">
        <v>0</v>
      </c>
      <c r="K223" s="85">
        <f>E223*J223</f>
        <v>0</v>
      </c>
      <c r="L223" s="85"/>
      <c r="M223" s="85"/>
      <c r="N223" s="202"/>
      <c r="O223" s="203"/>
      <c r="P223" s="203"/>
      <c r="Q223" s="203"/>
      <c r="R223" s="203"/>
      <c r="S223" s="203"/>
      <c r="T223" s="203"/>
    </row>
    <row r="224" spans="1:20" s="204" customFormat="1" ht="23.25" customHeight="1">
      <c r="A224" s="268" t="s">
        <v>195</v>
      </c>
      <c r="B224" s="969" t="s">
        <v>2343</v>
      </c>
      <c r="C224" s="970" t="s">
        <v>2344</v>
      </c>
      <c r="D224" s="971" t="s">
        <v>116</v>
      </c>
      <c r="E224" s="972">
        <v>2.7</v>
      </c>
      <c r="F224" s="972"/>
      <c r="G224" s="200">
        <f aca="true" t="shared" si="8" ref="G224:G225">E224*F224</f>
        <v>0</v>
      </c>
      <c r="H224" s="201"/>
      <c r="I224" s="201"/>
      <c r="J224" s="85"/>
      <c r="K224" s="85"/>
      <c r="L224" s="85"/>
      <c r="M224" s="85"/>
      <c r="N224" s="202"/>
      <c r="O224" s="203"/>
      <c r="P224" s="203"/>
      <c r="Q224" s="203"/>
      <c r="R224" s="203"/>
      <c r="S224" s="203"/>
      <c r="T224" s="203"/>
    </row>
    <row r="225" spans="1:20" s="204" customFormat="1" ht="23.25" customHeight="1">
      <c r="A225" s="268" t="s">
        <v>289</v>
      </c>
      <c r="B225" s="969" t="s">
        <v>2345</v>
      </c>
      <c r="C225" s="970" t="s">
        <v>2346</v>
      </c>
      <c r="D225" s="971" t="s">
        <v>116</v>
      </c>
      <c r="E225" s="972">
        <f>E224*1.08+0.08</f>
        <v>2.9960000000000004</v>
      </c>
      <c r="F225" s="972"/>
      <c r="G225" s="200">
        <f t="shared" si="8"/>
        <v>0</v>
      </c>
      <c r="H225" s="201"/>
      <c r="I225" s="201"/>
      <c r="J225" s="85"/>
      <c r="K225" s="85"/>
      <c r="L225" s="85"/>
      <c r="M225" s="85"/>
      <c r="N225" s="202"/>
      <c r="O225" s="203"/>
      <c r="P225" s="203"/>
      <c r="Q225" s="203"/>
      <c r="R225" s="203"/>
      <c r="S225" s="203"/>
      <c r="T225" s="203"/>
    </row>
    <row r="226" spans="1:20" s="204" customFormat="1" ht="27" customHeight="1">
      <c r="A226" s="268" t="s">
        <v>290</v>
      </c>
      <c r="B226" s="197" t="s">
        <v>196</v>
      </c>
      <c r="C226" s="136" t="s">
        <v>335</v>
      </c>
      <c r="D226" s="198" t="s">
        <v>73</v>
      </c>
      <c r="E226" s="199">
        <f>I226</f>
        <v>0.90705825</v>
      </c>
      <c r="F226" s="199"/>
      <c r="G226" s="200">
        <f>E226*F226</f>
        <v>0</v>
      </c>
      <c r="H226" s="201"/>
      <c r="I226" s="216">
        <f>SUM(I220:I225)</f>
        <v>0.90705825</v>
      </c>
      <c r="J226" s="85"/>
      <c r="K226" s="85">
        <f>E226*J226</f>
        <v>0</v>
      </c>
      <c r="L226" s="85"/>
      <c r="M226" s="85"/>
      <c r="N226" s="202"/>
      <c r="O226" s="203"/>
      <c r="P226" s="203"/>
      <c r="Q226" s="203"/>
      <c r="R226" s="203"/>
      <c r="S226" s="203"/>
      <c r="T226" s="203"/>
    </row>
    <row r="227" spans="1:7" ht="14" thickBot="1">
      <c r="A227" s="218"/>
      <c r="B227" s="219"/>
      <c r="C227" s="220"/>
      <c r="D227" s="221"/>
      <c r="E227" s="222"/>
      <c r="F227" s="223"/>
      <c r="G227" s="224"/>
    </row>
    <row r="228" spans="1:9" ht="13" thickBot="1">
      <c r="A228" s="225"/>
      <c r="B228" s="226"/>
      <c r="C228" s="227" t="s">
        <v>113</v>
      </c>
      <c r="D228" s="226"/>
      <c r="E228" s="228"/>
      <c r="F228" s="229"/>
      <c r="G228" s="230">
        <f>SUBTOTAL(9,G220:G227)</f>
        <v>0</v>
      </c>
      <c r="I228" s="291"/>
    </row>
    <row r="229" spans="1:7" ht="13" thickBot="1">
      <c r="A229" s="179"/>
      <c r="B229" s="180"/>
      <c r="C229" s="180"/>
      <c r="D229" s="180"/>
      <c r="E229" s="180"/>
      <c r="F229" s="180"/>
      <c r="G229" s="181"/>
    </row>
    <row r="230" spans="1:7" ht="13" thickBot="1">
      <c r="A230" s="182" t="s">
        <v>197</v>
      </c>
      <c r="B230" s="183"/>
      <c r="C230" s="184" t="s">
        <v>1259</v>
      </c>
      <c r="D230" s="185"/>
      <c r="E230" s="186"/>
      <c r="F230" s="187"/>
      <c r="G230" s="188"/>
    </row>
    <row r="231" spans="1:7" ht="12.75">
      <c r="A231" s="189"/>
      <c r="B231" s="231"/>
      <c r="C231" s="232"/>
      <c r="D231" s="233"/>
      <c r="E231" s="234"/>
      <c r="F231" s="235"/>
      <c r="G231" s="236"/>
    </row>
    <row r="232" spans="1:20" s="204" customFormat="1" ht="18.75" customHeight="1">
      <c r="A232" s="455" t="s">
        <v>198</v>
      </c>
      <c r="B232" s="305" t="s">
        <v>200</v>
      </c>
      <c r="C232" s="306" t="s">
        <v>1429</v>
      </c>
      <c r="D232" s="305" t="s">
        <v>46</v>
      </c>
      <c r="E232" s="199">
        <f>E233</f>
        <v>71.1981</v>
      </c>
      <c r="F232" s="199"/>
      <c r="G232" s="200">
        <f>E232*F232</f>
        <v>0</v>
      </c>
      <c r="H232" s="85">
        <v>0.0015</v>
      </c>
      <c r="I232" s="201">
        <f>E232*H232</f>
        <v>0.10679715</v>
      </c>
      <c r="J232" s="85">
        <v>0</v>
      </c>
      <c r="K232" s="85">
        <f>E232*J232</f>
        <v>0</v>
      </c>
      <c r="L232" s="85"/>
      <c r="M232" s="85"/>
      <c r="N232" s="202"/>
      <c r="O232" s="203"/>
      <c r="P232" s="203"/>
      <c r="Q232" s="203"/>
      <c r="R232" s="203"/>
      <c r="S232" s="203"/>
      <c r="T232" s="203"/>
    </row>
    <row r="233" spans="1:20" s="204" customFormat="1" ht="34.5" customHeight="1">
      <c r="A233" s="455" t="s">
        <v>199</v>
      </c>
      <c r="B233" s="305" t="s">
        <v>1430</v>
      </c>
      <c r="C233" s="306" t="s">
        <v>1431</v>
      </c>
      <c r="D233" s="305" t="s">
        <v>46</v>
      </c>
      <c r="E233" s="199">
        <f>SUM(D234)</f>
        <v>71.1981</v>
      </c>
      <c r="F233" s="199"/>
      <c r="G233" s="200">
        <f>E233*F233</f>
        <v>0</v>
      </c>
      <c r="H233" s="85">
        <v>0.009</v>
      </c>
      <c r="I233" s="201">
        <f>E233*H233</f>
        <v>0.6407828999999999</v>
      </c>
      <c r="J233" s="85">
        <v>0</v>
      </c>
      <c r="K233" s="85">
        <f>E233*J233</f>
        <v>0</v>
      </c>
      <c r="L233" s="85"/>
      <c r="M233" s="85"/>
      <c r="N233" s="202"/>
      <c r="O233" s="203"/>
      <c r="P233" s="203"/>
      <c r="Q233" s="203"/>
      <c r="R233" s="203"/>
      <c r="S233" s="203"/>
      <c r="T233" s="203"/>
    </row>
    <row r="234" spans="1:14" s="595" customFormat="1" ht="21.75" customHeight="1">
      <c r="A234" s="683"/>
      <c r="B234" s="686"/>
      <c r="C234" s="687" t="s">
        <v>1499</v>
      </c>
      <c r="D234" s="685">
        <f>(3.8+3.1+12.1+3.5*2+3)*2.6-0.43*0.9*6+0.485*(0.9*2+0.43*2)-0.75*2.1*2-0.02</f>
        <v>71.1981</v>
      </c>
      <c r="E234" s="688"/>
      <c r="F234" s="688"/>
      <c r="G234" s="689"/>
      <c r="H234" s="593"/>
      <c r="I234" s="593"/>
      <c r="J234" s="593"/>
      <c r="K234" s="593"/>
      <c r="L234" s="593"/>
      <c r="M234" s="593"/>
      <c r="N234" s="594"/>
    </row>
    <row r="235" spans="1:20" s="204" customFormat="1" ht="18.75" customHeight="1">
      <c r="A235" s="455" t="s">
        <v>201</v>
      </c>
      <c r="B235" s="305" t="s">
        <v>1502</v>
      </c>
      <c r="C235" s="306" t="s">
        <v>1500</v>
      </c>
      <c r="D235" s="305" t="s">
        <v>46</v>
      </c>
      <c r="E235" s="199">
        <f>SUM(D236)</f>
        <v>75.001</v>
      </c>
      <c r="F235" s="199"/>
      <c r="G235" s="200">
        <f>E235*F235</f>
        <v>0</v>
      </c>
      <c r="H235" s="85">
        <v>0.02</v>
      </c>
      <c r="I235" s="201">
        <f>E235*H235</f>
        <v>1.5000200000000001</v>
      </c>
      <c r="J235" s="85">
        <v>0</v>
      </c>
      <c r="K235" s="85">
        <f>E235*J235</f>
        <v>0</v>
      </c>
      <c r="L235" s="85"/>
      <c r="M235" s="85"/>
      <c r="N235" s="202"/>
      <c r="O235" s="203"/>
      <c r="P235" s="203"/>
      <c r="Q235" s="203"/>
      <c r="R235" s="203"/>
      <c r="S235" s="203"/>
      <c r="T235" s="203"/>
    </row>
    <row r="236" spans="1:14" s="595" customFormat="1" ht="21.75" customHeight="1">
      <c r="A236" s="683"/>
      <c r="B236" s="686"/>
      <c r="C236" s="687" t="s">
        <v>1501</v>
      </c>
      <c r="D236" s="685">
        <f>71.22*1.05+0.22</f>
        <v>75.001</v>
      </c>
      <c r="E236" s="688"/>
      <c r="F236" s="688"/>
      <c r="G236" s="689"/>
      <c r="H236" s="593"/>
      <c r="I236" s="593"/>
      <c r="J236" s="593"/>
      <c r="K236" s="593"/>
      <c r="L236" s="593"/>
      <c r="M236" s="593"/>
      <c r="N236" s="594"/>
    </row>
    <row r="237" spans="1:20" s="204" customFormat="1" ht="27.75" customHeight="1">
      <c r="A237" s="455" t="s">
        <v>202</v>
      </c>
      <c r="B237" s="197" t="s">
        <v>206</v>
      </c>
      <c r="C237" s="136" t="s">
        <v>1263</v>
      </c>
      <c r="D237" s="198" t="s">
        <v>73</v>
      </c>
      <c r="E237" s="199">
        <f>I237</f>
        <v>2.24760005</v>
      </c>
      <c r="F237" s="199"/>
      <c r="G237" s="200">
        <f>E237*F237</f>
        <v>0</v>
      </c>
      <c r="H237" s="201"/>
      <c r="I237" s="216">
        <f>SUM(I232:I236)</f>
        <v>2.24760005</v>
      </c>
      <c r="J237" s="85"/>
      <c r="K237" s="85">
        <f>E237*J237</f>
        <v>0</v>
      </c>
      <c r="L237" s="85"/>
      <c r="M237" s="85"/>
      <c r="N237" s="202"/>
      <c r="O237" s="203"/>
      <c r="P237" s="203"/>
      <c r="Q237" s="203"/>
      <c r="R237" s="203"/>
      <c r="S237" s="203"/>
      <c r="T237" s="203"/>
    </row>
    <row r="238" spans="1:7" ht="14" thickBot="1">
      <c r="A238" s="218"/>
      <c r="B238" s="219"/>
      <c r="C238" s="220"/>
      <c r="D238" s="221"/>
      <c r="E238" s="222"/>
      <c r="F238" s="223"/>
      <c r="G238" s="224"/>
    </row>
    <row r="239" spans="1:7" ht="17.25" customHeight="1" thickBot="1">
      <c r="A239" s="225"/>
      <c r="B239" s="226"/>
      <c r="C239" s="227" t="s">
        <v>113</v>
      </c>
      <c r="D239" s="226"/>
      <c r="E239" s="228"/>
      <c r="F239" s="229"/>
      <c r="G239" s="230">
        <f>SUBTOTAL(9,G231:G238)</f>
        <v>0</v>
      </c>
    </row>
    <row r="240" spans="1:7" ht="13" thickBot="1">
      <c r="A240" s="179"/>
      <c r="B240" s="180"/>
      <c r="C240" s="180"/>
      <c r="D240" s="180"/>
      <c r="E240" s="180"/>
      <c r="F240" s="180"/>
      <c r="G240" s="181"/>
    </row>
    <row r="241" spans="1:7" ht="13" thickBot="1">
      <c r="A241" s="182" t="s">
        <v>228</v>
      </c>
      <c r="B241" s="183"/>
      <c r="C241" s="184" t="s">
        <v>1498</v>
      </c>
      <c r="D241" s="185"/>
      <c r="E241" s="186"/>
      <c r="F241" s="187"/>
      <c r="G241" s="188"/>
    </row>
    <row r="242" spans="1:7" ht="12.75">
      <c r="A242" s="189"/>
      <c r="B242" s="231"/>
      <c r="C242" s="232"/>
      <c r="D242" s="233"/>
      <c r="E242" s="234"/>
      <c r="F242" s="235"/>
      <c r="G242" s="236"/>
    </row>
    <row r="243" spans="1:20" s="204" customFormat="1" ht="29.25" customHeight="1">
      <c r="A243" s="196" t="s">
        <v>230</v>
      </c>
      <c r="B243" s="197" t="s">
        <v>212</v>
      </c>
      <c r="C243" s="136" t="s">
        <v>213</v>
      </c>
      <c r="D243" s="198" t="s">
        <v>46</v>
      </c>
      <c r="E243" s="199">
        <v>23.7</v>
      </c>
      <c r="F243" s="199"/>
      <c r="G243" s="200">
        <f>E243*F243</f>
        <v>0</v>
      </c>
      <c r="H243" s="201">
        <v>0</v>
      </c>
      <c r="I243" s="201">
        <f>E243*H243</f>
        <v>0</v>
      </c>
      <c r="J243" s="85">
        <v>0</v>
      </c>
      <c r="K243" s="85">
        <f>E243*J243</f>
        <v>0</v>
      </c>
      <c r="L243" s="85"/>
      <c r="M243" s="85"/>
      <c r="N243" s="202"/>
      <c r="O243" s="203"/>
      <c r="P243" s="203"/>
      <c r="Q243" s="203"/>
      <c r="R243" s="203"/>
      <c r="S243" s="203"/>
      <c r="T243" s="203"/>
    </row>
    <row r="244" spans="1:20" s="204" customFormat="1" ht="29.25" customHeight="1">
      <c r="A244" s="196" t="s">
        <v>232</v>
      </c>
      <c r="B244" s="197" t="s">
        <v>215</v>
      </c>
      <c r="C244" s="136" t="s">
        <v>216</v>
      </c>
      <c r="D244" s="198" t="s">
        <v>46</v>
      </c>
      <c r="E244" s="199">
        <f>SUM(D245)</f>
        <v>2.322</v>
      </c>
      <c r="F244" s="199"/>
      <c r="G244" s="200">
        <f>E244*F244</f>
        <v>0</v>
      </c>
      <c r="H244" s="201">
        <v>0</v>
      </c>
      <c r="I244" s="201">
        <f>E244*H244</f>
        <v>0</v>
      </c>
      <c r="J244" s="85">
        <v>0</v>
      </c>
      <c r="K244" s="85">
        <f>E244*J244</f>
        <v>0</v>
      </c>
      <c r="L244" s="85"/>
      <c r="M244" s="85"/>
      <c r="N244" s="202"/>
      <c r="O244" s="203"/>
      <c r="P244" s="203"/>
      <c r="Q244" s="203"/>
      <c r="R244" s="203"/>
      <c r="S244" s="203"/>
      <c r="T244" s="203"/>
    </row>
    <row r="245" spans="1:14" s="595" customFormat="1" ht="21.75" customHeight="1">
      <c r="A245" s="683"/>
      <c r="B245" s="686"/>
      <c r="C245" s="687" t="s">
        <v>1503</v>
      </c>
      <c r="D245" s="685">
        <f>(0.43*0.9)*6</f>
        <v>2.322</v>
      </c>
      <c r="E245" s="688"/>
      <c r="F245" s="688"/>
      <c r="G245" s="689"/>
      <c r="H245" s="593"/>
      <c r="I245" s="593"/>
      <c r="J245" s="593"/>
      <c r="K245" s="593"/>
      <c r="L245" s="593"/>
      <c r="M245" s="593"/>
      <c r="N245" s="594"/>
    </row>
    <row r="246" spans="1:20" s="204" customFormat="1" ht="23.25" customHeight="1">
      <c r="A246" s="196" t="s">
        <v>234</v>
      </c>
      <c r="B246" s="197" t="s">
        <v>218</v>
      </c>
      <c r="C246" s="136" t="s">
        <v>219</v>
      </c>
      <c r="D246" s="198" t="s">
        <v>46</v>
      </c>
      <c r="E246" s="199">
        <f>1.05*26.02+0.08</f>
        <v>27.401</v>
      </c>
      <c r="F246" s="199"/>
      <c r="G246" s="200">
        <f>E246*F246</f>
        <v>0</v>
      </c>
      <c r="H246" s="201">
        <v>0</v>
      </c>
      <c r="I246" s="201">
        <f>E246*H246</f>
        <v>0</v>
      </c>
      <c r="J246" s="85"/>
      <c r="K246" s="85">
        <f>E246*J246</f>
        <v>0</v>
      </c>
      <c r="L246" s="85"/>
      <c r="M246" s="85"/>
      <c r="N246" s="202"/>
      <c r="O246" s="203"/>
      <c r="P246" s="203"/>
      <c r="Q246" s="203"/>
      <c r="R246" s="203"/>
      <c r="S246" s="203"/>
      <c r="T246" s="203"/>
    </row>
    <row r="247" spans="1:20" s="204" customFormat="1" ht="21" customHeight="1">
      <c r="A247" s="196" t="s">
        <v>237</v>
      </c>
      <c r="B247" s="197" t="s">
        <v>221</v>
      </c>
      <c r="C247" s="136" t="s">
        <v>222</v>
      </c>
      <c r="D247" s="198" t="s">
        <v>46</v>
      </c>
      <c r="E247" s="669">
        <v>23.7</v>
      </c>
      <c r="F247" s="199"/>
      <c r="G247" s="200">
        <f>E247*F247</f>
        <v>0</v>
      </c>
      <c r="H247" s="201">
        <v>0.00021</v>
      </c>
      <c r="I247" s="201">
        <f>E247*H247</f>
        <v>0.004977</v>
      </c>
      <c r="J247" s="85">
        <v>0</v>
      </c>
      <c r="K247" s="85">
        <f>E247*J247</f>
        <v>0</v>
      </c>
      <c r="L247" s="85"/>
      <c r="M247" s="85"/>
      <c r="N247" s="202"/>
      <c r="O247" s="203"/>
      <c r="P247" s="203"/>
      <c r="Q247" s="203"/>
      <c r="R247" s="203"/>
      <c r="S247" s="203"/>
      <c r="T247" s="203"/>
    </row>
    <row r="248" spans="1:20" s="204" customFormat="1" ht="25.5" customHeight="1">
      <c r="A248" s="196" t="s">
        <v>240</v>
      </c>
      <c r="B248" s="197" t="s">
        <v>224</v>
      </c>
      <c r="C248" s="136" t="s">
        <v>225</v>
      </c>
      <c r="D248" s="198" t="s">
        <v>46</v>
      </c>
      <c r="E248" s="199">
        <f>E247</f>
        <v>23.7</v>
      </c>
      <c r="F248" s="199"/>
      <c r="G248" s="200">
        <f>E248*F248</f>
        <v>0</v>
      </c>
      <c r="H248" s="201">
        <v>0.00021</v>
      </c>
      <c r="I248" s="201">
        <f>E248*H248</f>
        <v>0.004977</v>
      </c>
      <c r="J248" s="85">
        <v>0</v>
      </c>
      <c r="K248" s="85">
        <f>E248*J248</f>
        <v>0</v>
      </c>
      <c r="L248" s="85"/>
      <c r="M248" s="85"/>
      <c r="N248" s="202"/>
      <c r="O248" s="203"/>
      <c r="P248" s="203"/>
      <c r="Q248" s="203"/>
      <c r="R248" s="203"/>
      <c r="S248" s="203"/>
      <c r="T248" s="203"/>
    </row>
    <row r="249" spans="1:20" s="204" customFormat="1" ht="28.5" customHeight="1">
      <c r="A249" s="196" t="s">
        <v>244</v>
      </c>
      <c r="B249" s="197" t="s">
        <v>227</v>
      </c>
      <c r="C249" s="136" t="s">
        <v>1727</v>
      </c>
      <c r="D249" s="198" t="s">
        <v>46</v>
      </c>
      <c r="E249" s="199">
        <f>E248</f>
        <v>23.7</v>
      </c>
      <c r="F249" s="199"/>
      <c r="G249" s="200">
        <f>E249*F249</f>
        <v>0</v>
      </c>
      <c r="H249" s="201">
        <v>0.00028</v>
      </c>
      <c r="I249" s="201">
        <f>E249*H249</f>
        <v>0.0066359999999999995</v>
      </c>
      <c r="J249" s="85">
        <v>0</v>
      </c>
      <c r="K249" s="85">
        <f>E249*J249</f>
        <v>0</v>
      </c>
      <c r="L249" s="85"/>
      <c r="M249" s="85"/>
      <c r="N249" s="202"/>
      <c r="O249" s="203"/>
      <c r="P249" s="203"/>
      <c r="Q249" s="203"/>
      <c r="R249" s="203"/>
      <c r="S249" s="203"/>
      <c r="T249" s="203"/>
    </row>
    <row r="250" spans="1:7" ht="14" thickBot="1">
      <c r="A250" s="218"/>
      <c r="B250" s="219"/>
      <c r="C250" s="220"/>
      <c r="D250" s="221"/>
      <c r="E250" s="222"/>
      <c r="F250" s="223"/>
      <c r="G250" s="224"/>
    </row>
    <row r="251" spans="1:7" ht="18" customHeight="1" thickBot="1">
      <c r="A251" s="225"/>
      <c r="B251" s="226"/>
      <c r="C251" s="227" t="s">
        <v>113</v>
      </c>
      <c r="D251" s="226"/>
      <c r="E251" s="228"/>
      <c r="F251" s="229"/>
      <c r="G251" s="230">
        <f>SUBTOTAL(9,G242:G250)</f>
        <v>0</v>
      </c>
    </row>
    <row r="252" spans="1:7" ht="13" thickBot="1">
      <c r="A252" s="179"/>
      <c r="B252" s="180"/>
      <c r="C252" s="180"/>
      <c r="D252" s="180"/>
      <c r="E252" s="180"/>
      <c r="F252" s="180"/>
      <c r="G252" s="181"/>
    </row>
    <row r="253" spans="1:7" ht="13" thickBot="1">
      <c r="A253" s="182" t="s">
        <v>406</v>
      </c>
      <c r="B253" s="183"/>
      <c r="C253" s="184" t="s">
        <v>229</v>
      </c>
      <c r="D253" s="185"/>
      <c r="E253" s="292"/>
      <c r="F253" s="293"/>
      <c r="G253" s="188"/>
    </row>
    <row r="254" spans="1:7" ht="12.75">
      <c r="A254" s="189"/>
      <c r="B254" s="231"/>
      <c r="C254" s="232"/>
      <c r="D254" s="233"/>
      <c r="E254" s="234"/>
      <c r="F254" s="235"/>
      <c r="G254" s="236"/>
    </row>
    <row r="255" spans="1:20" s="204" customFormat="1" ht="22">
      <c r="A255" s="196" t="s">
        <v>407</v>
      </c>
      <c r="B255" s="305">
        <v>763121411</v>
      </c>
      <c r="C255" s="306" t="s">
        <v>1504</v>
      </c>
      <c r="D255" s="198" t="s">
        <v>46</v>
      </c>
      <c r="E255" s="199">
        <f>SUM(D256)</f>
        <v>4.4</v>
      </c>
      <c r="F255" s="199"/>
      <c r="G255" s="200">
        <f>E255*F255</f>
        <v>0</v>
      </c>
      <c r="H255" s="201">
        <v>0.011820000000000002</v>
      </c>
      <c r="I255" s="201">
        <f>E255*H255</f>
        <v>0.05200800000000001</v>
      </c>
      <c r="J255" s="85">
        <v>0</v>
      </c>
      <c r="K255" s="85">
        <f>E255*J255</f>
        <v>0</v>
      </c>
      <c r="L255" s="85"/>
      <c r="M255" s="85"/>
      <c r="N255" s="202"/>
      <c r="O255" s="203"/>
      <c r="P255" s="203"/>
      <c r="Q255" s="203"/>
      <c r="R255" s="203"/>
      <c r="S255" s="203"/>
      <c r="T255" s="203"/>
    </row>
    <row r="256" spans="1:12" s="251" customFormat="1" ht="17.25" customHeight="1">
      <c r="A256" s="196"/>
      <c r="B256" s="205"/>
      <c r="C256" s="245" t="s">
        <v>1510</v>
      </c>
      <c r="D256" s="246">
        <f>1*2.2*2</f>
        <v>4.4</v>
      </c>
      <c r="E256" s="247"/>
      <c r="F256" s="247"/>
      <c r="G256" s="248"/>
      <c r="H256" s="249"/>
      <c r="I256" s="250"/>
      <c r="J256" s="250"/>
      <c r="K256" s="250"/>
      <c r="L256" s="250"/>
    </row>
    <row r="257" spans="1:20" s="204" customFormat="1" ht="22.5" customHeight="1">
      <c r="A257" s="196" t="s">
        <v>408</v>
      </c>
      <c r="B257" s="305">
        <v>763121811</v>
      </c>
      <c r="C257" s="306" t="s">
        <v>233</v>
      </c>
      <c r="D257" s="305" t="s">
        <v>46</v>
      </c>
      <c r="E257" s="199">
        <f>E255</f>
        <v>4.4</v>
      </c>
      <c r="F257" s="199"/>
      <c r="G257" s="200">
        <f>E257*F257</f>
        <v>0</v>
      </c>
      <c r="H257" s="85">
        <v>0</v>
      </c>
      <c r="I257" s="201">
        <f>E257*H257</f>
        <v>0</v>
      </c>
      <c r="J257" s="85">
        <v>0.01725</v>
      </c>
      <c r="K257" s="85">
        <f>E257*J257</f>
        <v>0.07590000000000001</v>
      </c>
      <c r="L257" s="85"/>
      <c r="M257" s="85"/>
      <c r="N257" s="202"/>
      <c r="O257" s="203"/>
      <c r="P257" s="203"/>
      <c r="Q257" s="203"/>
      <c r="R257" s="203"/>
      <c r="S257" s="203"/>
      <c r="T257" s="203"/>
    </row>
    <row r="258" spans="1:20" s="204" customFormat="1" ht="29.25" customHeight="1">
      <c r="A258" s="196" t="s">
        <v>409</v>
      </c>
      <c r="B258" s="197">
        <v>784191003</v>
      </c>
      <c r="C258" s="136" t="s">
        <v>1505</v>
      </c>
      <c r="D258" s="198" t="s">
        <v>46</v>
      </c>
      <c r="E258" s="199">
        <f>SUM(D259)</f>
        <v>2.322</v>
      </c>
      <c r="F258" s="199"/>
      <c r="G258" s="200">
        <f>E258*F258</f>
        <v>0</v>
      </c>
      <c r="H258" s="201">
        <v>1E-05</v>
      </c>
      <c r="I258" s="201">
        <f>E258*H258</f>
        <v>2.322E-05</v>
      </c>
      <c r="J258" s="85">
        <v>0</v>
      </c>
      <c r="K258" s="85">
        <f>E258*J258</f>
        <v>0</v>
      </c>
      <c r="L258" s="85"/>
      <c r="M258" s="85"/>
      <c r="N258" s="202"/>
      <c r="O258" s="203"/>
      <c r="P258" s="203"/>
      <c r="Q258" s="203"/>
      <c r="R258" s="203"/>
      <c r="S258" s="203"/>
      <c r="T258" s="203"/>
    </row>
    <row r="259" spans="1:14" s="595" customFormat="1" ht="17.25" customHeight="1">
      <c r="A259" s="683"/>
      <c r="B259" s="686"/>
      <c r="C259" s="687" t="s">
        <v>1503</v>
      </c>
      <c r="D259" s="685">
        <f>(0.43*0.9)*6</f>
        <v>2.322</v>
      </c>
      <c r="E259" s="688"/>
      <c r="F259" s="688"/>
      <c r="G259" s="689"/>
      <c r="H259" s="593"/>
      <c r="I259" s="593"/>
      <c r="J259" s="593"/>
      <c r="K259" s="593"/>
      <c r="L259" s="593"/>
      <c r="M259" s="593"/>
      <c r="N259" s="594"/>
    </row>
    <row r="260" spans="1:20" s="204" customFormat="1" ht="24" customHeight="1">
      <c r="A260" s="196" t="s">
        <v>410</v>
      </c>
      <c r="B260" s="197" t="s">
        <v>238</v>
      </c>
      <c r="C260" s="136" t="s">
        <v>1506</v>
      </c>
      <c r="D260" s="198" t="s">
        <v>46</v>
      </c>
      <c r="E260" s="199">
        <v>23.7</v>
      </c>
      <c r="F260" s="199"/>
      <c r="G260" s="200">
        <f>E260*F260</f>
        <v>0</v>
      </c>
      <c r="H260" s="201">
        <v>1E-05</v>
      </c>
      <c r="I260" s="201">
        <f>E260*H260</f>
        <v>0.00023700000000000001</v>
      </c>
      <c r="J260" s="85">
        <v>0</v>
      </c>
      <c r="K260" s="85">
        <f>E260*J260</f>
        <v>0</v>
      </c>
      <c r="L260" s="85"/>
      <c r="M260" s="85"/>
      <c r="N260" s="202"/>
      <c r="O260" s="203"/>
      <c r="P260" s="203"/>
      <c r="Q260" s="203"/>
      <c r="R260" s="203"/>
      <c r="S260" s="203"/>
      <c r="T260" s="203"/>
    </row>
    <row r="261" spans="1:20" s="204" customFormat="1" ht="18.75" customHeight="1">
      <c r="A261" s="196" t="s">
        <v>411</v>
      </c>
      <c r="B261" s="305" t="s">
        <v>1507</v>
      </c>
      <c r="C261" s="306" t="s">
        <v>242</v>
      </c>
      <c r="D261" s="305" t="s">
        <v>243</v>
      </c>
      <c r="E261" s="199">
        <v>15</v>
      </c>
      <c r="F261" s="199"/>
      <c r="G261" s="200">
        <f>E261*F261</f>
        <v>0</v>
      </c>
      <c r="H261" s="85"/>
      <c r="I261" s="201"/>
      <c r="J261" s="85"/>
      <c r="K261" s="85"/>
      <c r="L261" s="85"/>
      <c r="M261" s="85"/>
      <c r="N261" s="202"/>
      <c r="O261" s="203"/>
      <c r="P261" s="203"/>
      <c r="Q261" s="203"/>
      <c r="R261" s="203"/>
      <c r="S261" s="203"/>
      <c r="T261" s="203"/>
    </row>
    <row r="262" spans="1:20" s="204" customFormat="1" ht="32.25" customHeight="1">
      <c r="A262" s="196" t="s">
        <v>412</v>
      </c>
      <c r="B262" s="197" t="s">
        <v>1508</v>
      </c>
      <c r="C262" s="167" t="s">
        <v>1509</v>
      </c>
      <c r="D262" s="197" t="s">
        <v>46</v>
      </c>
      <c r="E262" s="199">
        <v>23.7</v>
      </c>
      <c r="F262" s="199"/>
      <c r="G262" s="200">
        <f>E262*F262</f>
        <v>0</v>
      </c>
      <c r="H262" s="85"/>
      <c r="I262" s="201"/>
      <c r="J262" s="85"/>
      <c r="K262" s="85"/>
      <c r="L262" s="85"/>
      <c r="M262" s="85"/>
      <c r="N262" s="202"/>
      <c r="O262" s="203"/>
      <c r="P262" s="203"/>
      <c r="Q262" s="203"/>
      <c r="R262" s="203"/>
      <c r="S262" s="203"/>
      <c r="T262" s="203"/>
    </row>
    <row r="263" spans="1:12" s="314" customFormat="1" ht="44.25" customHeight="1">
      <c r="A263" s="196" t="s">
        <v>413</v>
      </c>
      <c r="B263" s="307"/>
      <c r="C263" s="308" t="s">
        <v>247</v>
      </c>
      <c r="D263" s="309"/>
      <c r="E263" s="310"/>
      <c r="F263" s="310"/>
      <c r="G263" s="311">
        <f>$E263*F263</f>
        <v>0</v>
      </c>
      <c r="H263" s="312"/>
      <c r="I263" s="312"/>
      <c r="J263" s="313"/>
      <c r="K263" s="313"/>
      <c r="L263" s="312"/>
    </row>
    <row r="264" spans="1:7" ht="13" thickBot="1">
      <c r="A264" s="298"/>
      <c r="B264" s="153"/>
      <c r="C264" s="299"/>
      <c r="D264" s="153"/>
      <c r="E264" s="300"/>
      <c r="F264" s="301"/>
      <c r="G264" s="302"/>
    </row>
    <row r="265" spans="1:7" ht="13" thickBot="1">
      <c r="A265" s="225"/>
      <c r="B265" s="226"/>
      <c r="C265" s="227" t="s">
        <v>113</v>
      </c>
      <c r="D265" s="226"/>
      <c r="E265" s="303"/>
      <c r="F265" s="304"/>
      <c r="G265" s="230">
        <f>SUBTOTAL(9,G254:G264)</f>
        <v>0</v>
      </c>
    </row>
    <row r="266" spans="1:7" ht="13" thickBot="1">
      <c r="A266" s="179"/>
      <c r="B266" s="180"/>
      <c r="C266" s="180"/>
      <c r="D266" s="180"/>
      <c r="E266" s="180"/>
      <c r="F266" s="180"/>
      <c r="G266" s="181"/>
    </row>
    <row r="267" spans="1:7" ht="27.75" customHeight="1" thickBot="1">
      <c r="A267" s="315"/>
      <c r="B267" s="316"/>
      <c r="C267" s="317" t="s">
        <v>38</v>
      </c>
      <c r="D267" s="316"/>
      <c r="E267" s="318"/>
      <c r="F267" s="318"/>
      <c r="G267" s="319">
        <f>SUBTOTAL(9,G24:G265)</f>
        <v>0</v>
      </c>
    </row>
    <row r="269" spans="3:7" ht="12.75">
      <c r="C269" s="73"/>
      <c r="D269" s="320"/>
      <c r="E269" s="76"/>
      <c r="G269" s="321"/>
    </row>
    <row r="270" spans="3:7" ht="12.75">
      <c r="C270" s="73"/>
      <c r="D270" s="320"/>
      <c r="E270" s="76"/>
      <c r="G270" s="321"/>
    </row>
    <row r="271" spans="3:7" ht="12.75">
      <c r="C271" s="73"/>
      <c r="D271" s="320"/>
      <c r="E271" s="76"/>
      <c r="G271" s="321"/>
    </row>
    <row r="272" spans="3:7" ht="12.75">
      <c r="C272" s="73"/>
      <c r="D272" s="320"/>
      <c r="E272" s="76"/>
      <c r="G272" s="321"/>
    </row>
    <row r="273" spans="3:7" ht="12.75">
      <c r="C273" s="73"/>
      <c r="D273" s="320"/>
      <c r="E273" s="76"/>
      <c r="G273" s="321"/>
    </row>
    <row r="274" spans="3:7" ht="12.75">
      <c r="C274" s="73"/>
      <c r="D274" s="320"/>
      <c r="E274" s="76"/>
      <c r="G274" s="321"/>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BJ383"/>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322" customWidth="1"/>
    <col min="2" max="2" width="16.421875" style="323" customWidth="1"/>
    <col min="3" max="3" width="61.421875" style="324" customWidth="1"/>
    <col min="4" max="4" width="10.421875" style="323" customWidth="1"/>
    <col min="5" max="5" width="11.421875" style="325" customWidth="1"/>
    <col min="6" max="6" width="13.421875" style="326" customWidth="1"/>
    <col min="7" max="7" width="20.00390625" style="326" customWidth="1"/>
    <col min="8" max="8" width="11.421875" style="327" customWidth="1"/>
    <col min="9" max="9" width="10.8515625" style="327" customWidth="1"/>
    <col min="10" max="10" width="10.28125" style="327" customWidth="1"/>
    <col min="11" max="11" width="10.421875" style="327" customWidth="1"/>
    <col min="12" max="12" width="8.8515625" style="327" customWidth="1"/>
    <col min="13" max="16384" width="8.8515625" style="328" customWidth="1"/>
  </cols>
  <sheetData>
    <row r="1" spans="1:8" ht="60" customHeight="1">
      <c r="A1" s="329"/>
      <c r="B1" s="330" t="s">
        <v>16</v>
      </c>
      <c r="C1" s="2" t="s">
        <v>1</v>
      </c>
      <c r="D1" s="2"/>
      <c r="E1" s="84"/>
      <c r="F1" s="1415" t="s">
        <v>2</v>
      </c>
      <c r="G1" s="1415"/>
      <c r="H1" s="241"/>
    </row>
    <row r="2" spans="1:8" ht="54.5" customHeight="1">
      <c r="A2" s="331"/>
      <c r="B2" s="332" t="s">
        <v>3</v>
      </c>
      <c r="C2" s="6" t="s">
        <v>2172</v>
      </c>
      <c r="D2" s="6"/>
      <c r="E2" s="89"/>
      <c r="F2" s="1416"/>
      <c r="G2" s="1416"/>
      <c r="H2" s="241"/>
    </row>
    <row r="3" spans="1:7" ht="50" customHeight="1">
      <c r="A3" s="331"/>
      <c r="B3" s="332" t="s">
        <v>17</v>
      </c>
      <c r="C3" s="8" t="s">
        <v>1335</v>
      </c>
      <c r="D3" s="89"/>
      <c r="E3" s="89"/>
      <c r="F3" s="1417" t="s">
        <v>1647</v>
      </c>
      <c r="G3" s="1417"/>
    </row>
    <row r="4" spans="1:7" ht="60.75" customHeight="1" thickBot="1">
      <c r="A4" s="333"/>
      <c r="B4" s="334" t="s">
        <v>19</v>
      </c>
      <c r="C4" s="11" t="s">
        <v>1160</v>
      </c>
      <c r="D4" s="94"/>
      <c r="E4" s="94"/>
      <c r="F4" s="1418"/>
      <c r="G4" s="1418"/>
    </row>
    <row r="5" spans="1:8" ht="15" customHeight="1" thickBot="1">
      <c r="A5" s="335"/>
      <c r="B5" s="336"/>
      <c r="C5" s="337"/>
      <c r="D5" s="338"/>
      <c r="E5" s="339"/>
      <c r="F5" s="340"/>
      <c r="G5" s="341"/>
      <c r="H5" s="342"/>
    </row>
    <row r="6" spans="1:12" s="351" customFormat="1" ht="11">
      <c r="A6" s="343" t="s">
        <v>20</v>
      </c>
      <c r="B6" s="344" t="s">
        <v>21</v>
      </c>
      <c r="C6" s="345" t="s">
        <v>22</v>
      </c>
      <c r="D6" s="344" t="s">
        <v>23</v>
      </c>
      <c r="E6" s="346" t="s">
        <v>24</v>
      </c>
      <c r="F6" s="347" t="s">
        <v>25</v>
      </c>
      <c r="G6" s="348" t="s">
        <v>26</v>
      </c>
      <c r="H6" s="349"/>
      <c r="I6" s="350"/>
      <c r="J6" s="350"/>
      <c r="K6" s="350"/>
      <c r="L6" s="350"/>
    </row>
    <row r="7" spans="1:12" s="351" customFormat="1" ht="5.25" customHeight="1" thickBot="1">
      <c r="A7" s="352"/>
      <c r="B7" s="353"/>
      <c r="C7" s="354"/>
      <c r="D7" s="353"/>
      <c r="E7" s="355"/>
      <c r="F7" s="356"/>
      <c r="G7" s="357"/>
      <c r="H7" s="349"/>
      <c r="I7" s="350"/>
      <c r="J7" s="350"/>
      <c r="K7" s="350"/>
      <c r="L7" s="350"/>
    </row>
    <row r="8" spans="1:12" s="366" customFormat="1" ht="12.75">
      <c r="A8" s="358"/>
      <c r="B8" s="359"/>
      <c r="C8" s="360"/>
      <c r="D8" s="360"/>
      <c r="E8" s="361"/>
      <c r="F8" s="362"/>
      <c r="G8" s="363"/>
      <c r="H8" s="364"/>
      <c r="I8" s="365"/>
      <c r="J8" s="365"/>
      <c r="K8" s="365"/>
      <c r="L8" s="365"/>
    </row>
    <row r="9" spans="1:12" s="375" customFormat="1" ht="12.75">
      <c r="A9" s="367"/>
      <c r="B9" s="368"/>
      <c r="C9" s="369" t="s">
        <v>27</v>
      </c>
      <c r="D9" s="368"/>
      <c r="E9" s="370"/>
      <c r="F9" s="371"/>
      <c r="G9" s="372"/>
      <c r="H9" s="373"/>
      <c r="I9" s="374"/>
      <c r="J9" s="374"/>
      <c r="K9" s="374"/>
      <c r="L9" s="374"/>
    </row>
    <row r="10" spans="1:7" ht="56.25" customHeight="1" hidden="1">
      <c r="A10" s="376"/>
      <c r="B10" s="377"/>
      <c r="C10" s="294" t="s">
        <v>248</v>
      </c>
      <c r="D10" s="377"/>
      <c r="E10" s="378"/>
      <c r="F10" s="379"/>
      <c r="G10" s="380"/>
    </row>
    <row r="11" spans="1:7" ht="35.25" customHeight="1" hidden="1">
      <c r="A11" s="376"/>
      <c r="B11" s="377"/>
      <c r="C11" s="294" t="s">
        <v>249</v>
      </c>
      <c r="D11" s="377"/>
      <c r="E11" s="378"/>
      <c r="F11" s="379"/>
      <c r="G11" s="380"/>
    </row>
    <row r="12" spans="1:7" ht="30.75" customHeight="1" hidden="1">
      <c r="A12" s="376"/>
      <c r="B12" s="377"/>
      <c r="C12" s="294" t="s">
        <v>250</v>
      </c>
      <c r="D12" s="377"/>
      <c r="E12" s="378"/>
      <c r="F12" s="379"/>
      <c r="G12" s="380"/>
    </row>
    <row r="13" spans="1:7" ht="66" customHeight="1" hidden="1">
      <c r="A13" s="381"/>
      <c r="B13" s="382"/>
      <c r="C13" s="383" t="s">
        <v>251</v>
      </c>
      <c r="D13" s="382"/>
      <c r="E13" s="384"/>
      <c r="F13" s="385"/>
      <c r="G13" s="386"/>
    </row>
    <row r="14" spans="1:7" ht="63" customHeight="1" hidden="1">
      <c r="A14" s="387"/>
      <c r="B14" s="388"/>
      <c r="C14" s="389" t="s">
        <v>32</v>
      </c>
      <c r="D14" s="388"/>
      <c r="E14" s="390"/>
      <c r="F14" s="391"/>
      <c r="G14" s="392"/>
    </row>
    <row r="15" spans="1:7" ht="29.25" customHeight="1" hidden="1">
      <c r="A15" s="376"/>
      <c r="B15" s="377"/>
      <c r="C15" s="393" t="s">
        <v>252</v>
      </c>
      <c r="D15" s="377"/>
      <c r="E15" s="378"/>
      <c r="F15" s="379"/>
      <c r="G15" s="380"/>
    </row>
    <row r="16" spans="1:7" ht="36.75" customHeight="1" hidden="1">
      <c r="A16" s="376"/>
      <c r="B16" s="377"/>
      <c r="C16" s="393" t="s">
        <v>253</v>
      </c>
      <c r="D16" s="377"/>
      <c r="E16" s="378"/>
      <c r="F16" s="379"/>
      <c r="G16" s="380"/>
    </row>
    <row r="17" spans="1:7" ht="43.5" customHeight="1" hidden="1">
      <c r="A17" s="376"/>
      <c r="B17" s="377"/>
      <c r="C17" s="393" t="s">
        <v>254</v>
      </c>
      <c r="D17" s="377"/>
      <c r="E17" s="378"/>
      <c r="F17" s="379"/>
      <c r="G17" s="380"/>
    </row>
    <row r="18" spans="1:12" s="375" customFormat="1" ht="12.75">
      <c r="A18" s="367"/>
      <c r="B18" s="368"/>
      <c r="C18" s="151"/>
      <c r="D18" s="368"/>
      <c r="E18" s="370"/>
      <c r="F18" s="371"/>
      <c r="G18" s="372"/>
      <c r="H18" s="373"/>
      <c r="I18" s="374"/>
      <c r="J18" s="374"/>
      <c r="K18" s="374"/>
      <c r="L18" s="374"/>
    </row>
    <row r="19" spans="1:12" s="366" customFormat="1" ht="33" customHeight="1">
      <c r="A19" s="152"/>
      <c r="B19" s="153"/>
      <c r="C19" s="154" t="s">
        <v>36</v>
      </c>
      <c r="D19" s="153"/>
      <c r="E19" s="155"/>
      <c r="F19" s="156"/>
      <c r="G19" s="157"/>
      <c r="H19" s="364"/>
      <c r="I19" s="365"/>
      <c r="J19" s="365"/>
      <c r="K19" s="365"/>
      <c r="L19" s="365"/>
    </row>
    <row r="20" spans="1:12" s="366" customFormat="1" ht="22">
      <c r="A20" s="152"/>
      <c r="B20" s="153"/>
      <c r="C20" s="158" t="s">
        <v>37</v>
      </c>
      <c r="D20" s="153"/>
      <c r="E20" s="155"/>
      <c r="F20" s="156"/>
      <c r="G20" s="394"/>
      <c r="H20" s="364"/>
      <c r="I20" s="365"/>
      <c r="J20" s="365"/>
      <c r="K20" s="365"/>
      <c r="L20" s="365"/>
    </row>
    <row r="21" spans="1:12" s="366" customFormat="1" ht="17.75" customHeight="1">
      <c r="A21" s="487" t="str">
        <f>A37</f>
        <v>1</v>
      </c>
      <c r="B21" s="161"/>
      <c r="C21" s="162" t="str">
        <f>C37</f>
        <v>Bourací  práce</v>
      </c>
      <c r="D21" s="164"/>
      <c r="E21" s="164"/>
      <c r="F21" s="165"/>
      <c r="G21" s="395">
        <f>G115</f>
        <v>0</v>
      </c>
      <c r="H21" s="364"/>
      <c r="I21" s="365"/>
      <c r="J21" s="365"/>
      <c r="K21" s="365"/>
      <c r="L21" s="365"/>
    </row>
    <row r="22" spans="1:12" s="366" customFormat="1" ht="17.75" customHeight="1">
      <c r="A22" s="742" t="str">
        <f>A117</f>
        <v>2</v>
      </c>
      <c r="B22" s="743"/>
      <c r="C22" s="744" t="str">
        <f>C117</f>
        <v>Zakládání</v>
      </c>
      <c r="D22" s="745"/>
      <c r="E22" s="745"/>
      <c r="F22" s="746"/>
      <c r="G22" s="747">
        <f>G130</f>
        <v>0</v>
      </c>
      <c r="H22" s="364"/>
      <c r="I22" s="365"/>
      <c r="J22" s="365"/>
      <c r="K22" s="365"/>
      <c r="L22" s="365"/>
    </row>
    <row r="23" spans="1:12" s="366" customFormat="1" ht="17.75" customHeight="1">
      <c r="A23" s="487" t="str">
        <f>A132</f>
        <v>3</v>
      </c>
      <c r="B23" s="161"/>
      <c r="C23" s="162" t="str">
        <f>C132</f>
        <v>Svislé konstrukce</v>
      </c>
      <c r="D23" s="164"/>
      <c r="E23" s="164"/>
      <c r="F23" s="165"/>
      <c r="G23" s="395">
        <f>G155</f>
        <v>0</v>
      </c>
      <c r="H23" s="364"/>
      <c r="I23" s="365"/>
      <c r="J23" s="365"/>
      <c r="K23" s="365"/>
      <c r="L23" s="365"/>
    </row>
    <row r="24" spans="1:12" s="366" customFormat="1" ht="17.75" customHeight="1">
      <c r="A24" s="742" t="str">
        <f>A157</f>
        <v>4</v>
      </c>
      <c r="B24" s="743"/>
      <c r="C24" s="744" t="str">
        <f>C157</f>
        <v>Vodorovné konstrukce</v>
      </c>
      <c r="D24" s="745"/>
      <c r="E24" s="745"/>
      <c r="F24" s="746"/>
      <c r="G24" s="747">
        <f>G166</f>
        <v>0</v>
      </c>
      <c r="H24" s="364"/>
      <c r="I24" s="365"/>
      <c r="J24" s="365"/>
      <c r="K24" s="365"/>
      <c r="L24" s="365"/>
    </row>
    <row r="25" spans="1:12" s="366" customFormat="1" ht="17.75" customHeight="1">
      <c r="A25" s="487" t="str">
        <f>A168</f>
        <v>5</v>
      </c>
      <c r="B25" s="161"/>
      <c r="C25" s="162" t="str">
        <f>C168</f>
        <v xml:space="preserve">Úpravy povrchů, stěny, stropy, podlahy </v>
      </c>
      <c r="D25" s="164"/>
      <c r="E25" s="164"/>
      <c r="F25" s="165"/>
      <c r="G25" s="395">
        <f>G268</f>
        <v>0</v>
      </c>
      <c r="H25" s="364"/>
      <c r="I25" s="365"/>
      <c r="J25" s="365"/>
      <c r="K25" s="365"/>
      <c r="L25" s="365"/>
    </row>
    <row r="26" spans="1:12" s="366" customFormat="1" ht="17.75" customHeight="1">
      <c r="A26" s="487" t="str">
        <f>A270</f>
        <v>6</v>
      </c>
      <c r="B26" s="161"/>
      <c r="C26" s="162" t="str">
        <f>C270</f>
        <v>Osazování výplní</v>
      </c>
      <c r="D26" s="164"/>
      <c r="E26" s="164"/>
      <c r="F26" s="165"/>
      <c r="G26" s="395">
        <f>G282</f>
        <v>0</v>
      </c>
      <c r="H26" s="364"/>
      <c r="I26" s="365"/>
      <c r="J26" s="365"/>
      <c r="K26" s="365"/>
      <c r="L26" s="365"/>
    </row>
    <row r="27" spans="1:12" s="366" customFormat="1" ht="17.75" customHeight="1">
      <c r="A27" s="742" t="str">
        <f>A284</f>
        <v>7</v>
      </c>
      <c r="B27" s="743"/>
      <c r="C27" s="744" t="str">
        <f>C284</f>
        <v>Přesun hmot</v>
      </c>
      <c r="D27" s="745"/>
      <c r="E27" s="745"/>
      <c r="F27" s="746"/>
      <c r="G27" s="747">
        <f>G288</f>
        <v>0</v>
      </c>
      <c r="H27" s="364"/>
      <c r="I27" s="365"/>
      <c r="J27" s="365"/>
      <c r="K27" s="365"/>
      <c r="L27" s="365"/>
    </row>
    <row r="28" spans="1:12" s="366" customFormat="1" ht="17.75" customHeight="1">
      <c r="A28" s="487" t="str">
        <f>A290</f>
        <v>8</v>
      </c>
      <c r="B28" s="161"/>
      <c r="C28" s="162" t="str">
        <f>C290</f>
        <v>Podlahy z dlaždic</v>
      </c>
      <c r="D28" s="164"/>
      <c r="E28" s="164"/>
      <c r="F28" s="165"/>
      <c r="G28" s="395">
        <f>G300</f>
        <v>0</v>
      </c>
      <c r="H28" s="364"/>
      <c r="I28" s="365"/>
      <c r="J28" s="365"/>
      <c r="K28" s="365"/>
      <c r="L28" s="365"/>
    </row>
    <row r="29" spans="1:12" s="366" customFormat="1" ht="17.75" customHeight="1">
      <c r="A29" s="487" t="str">
        <f>A302</f>
        <v>9</v>
      </c>
      <c r="B29" s="161"/>
      <c r="C29" s="162" t="str">
        <f>C302</f>
        <v>Podlahy skládané</v>
      </c>
      <c r="D29" s="164"/>
      <c r="E29" s="164"/>
      <c r="F29" s="165"/>
      <c r="G29" s="395">
        <f>G319</f>
        <v>0</v>
      </c>
      <c r="H29" s="364"/>
      <c r="I29" s="365"/>
      <c r="J29" s="365"/>
      <c r="K29" s="365"/>
      <c r="L29" s="365"/>
    </row>
    <row r="30" spans="1:12" s="366" customFormat="1" ht="17.75" customHeight="1">
      <c r="A30" s="742" t="str">
        <f>A321</f>
        <v>10</v>
      </c>
      <c r="B30" s="743"/>
      <c r="C30" s="744" t="str">
        <f>C321</f>
        <v>Podlahy povlakové</v>
      </c>
      <c r="D30" s="745"/>
      <c r="E30" s="745"/>
      <c r="F30" s="746"/>
      <c r="G30" s="747">
        <f>G330</f>
        <v>0</v>
      </c>
      <c r="H30" s="364"/>
      <c r="I30" s="365"/>
      <c r="J30" s="365"/>
      <c r="K30" s="365"/>
      <c r="L30" s="365"/>
    </row>
    <row r="31" spans="1:12" s="366" customFormat="1" ht="17.75" customHeight="1">
      <c r="A31" s="742" t="str">
        <f>A332</f>
        <v>11</v>
      </c>
      <c r="B31" s="743"/>
      <c r="C31" s="744" t="str">
        <f>C332</f>
        <v>Dokončovací práce - obklady</v>
      </c>
      <c r="D31" s="745"/>
      <c r="E31" s="745"/>
      <c r="F31" s="746"/>
      <c r="G31" s="747">
        <f>G342</f>
        <v>0</v>
      </c>
      <c r="H31" s="364"/>
      <c r="I31" s="365"/>
      <c r="J31" s="365"/>
      <c r="K31" s="365"/>
      <c r="L31" s="365"/>
    </row>
    <row r="32" spans="1:12" s="366" customFormat="1" ht="17.75" customHeight="1">
      <c r="A32" s="487" t="str">
        <f>A344</f>
        <v>12</v>
      </c>
      <c r="B32" s="161"/>
      <c r="C32" s="162" t="str">
        <f>C344</f>
        <v>Malby</v>
      </c>
      <c r="D32" s="164"/>
      <c r="E32" s="164"/>
      <c r="F32" s="165"/>
      <c r="G32" s="395">
        <f>G359</f>
        <v>0</v>
      </c>
      <c r="H32" s="364"/>
      <c r="I32" s="365"/>
      <c r="J32" s="365"/>
      <c r="K32" s="365"/>
      <c r="L32" s="365"/>
    </row>
    <row r="33" spans="1:12" s="366" customFormat="1" ht="17.75" customHeight="1">
      <c r="A33" s="487" t="str">
        <f>A361</f>
        <v>13</v>
      </c>
      <c r="B33" s="161"/>
      <c r="C33" s="162" t="str">
        <f>C361</f>
        <v>Ostatní  práce a dodávky</v>
      </c>
      <c r="D33" s="164"/>
      <c r="E33" s="164"/>
      <c r="F33" s="165"/>
      <c r="G33" s="395">
        <f>G374</f>
        <v>0</v>
      </c>
      <c r="H33" s="364"/>
      <c r="I33" s="365"/>
      <c r="J33" s="365"/>
      <c r="K33" s="365"/>
      <c r="L33" s="365"/>
    </row>
    <row r="34" spans="1:7" ht="13" thickBot="1">
      <c r="A34" s="160"/>
      <c r="B34" s="153"/>
      <c r="C34" s="167"/>
      <c r="D34" s="153"/>
      <c r="E34" s="168"/>
      <c r="F34" s="156"/>
      <c r="G34" s="395"/>
    </row>
    <row r="35" spans="1:7" ht="21" customHeight="1" thickBot="1">
      <c r="A35" s="170"/>
      <c r="B35" s="171"/>
      <c r="C35" s="172" t="s">
        <v>38</v>
      </c>
      <c r="D35" s="175"/>
      <c r="E35" s="174"/>
      <c r="F35" s="175"/>
      <c r="G35" s="176">
        <f>SUM(G21:G33)</f>
        <v>0</v>
      </c>
    </row>
    <row r="36" spans="1:7" ht="13" thickBot="1">
      <c r="A36" s="179"/>
      <c r="B36" s="180"/>
      <c r="C36" s="180"/>
      <c r="D36" s="180"/>
      <c r="E36" s="180"/>
      <c r="F36" s="180"/>
      <c r="G36" s="396"/>
    </row>
    <row r="37" spans="1:12" s="366" customFormat="1" ht="18" customHeight="1" thickBot="1">
      <c r="A37" s="182" t="s">
        <v>43</v>
      </c>
      <c r="B37" s="183"/>
      <c r="C37" s="184" t="s">
        <v>255</v>
      </c>
      <c r="D37" s="397"/>
      <c r="E37" s="398"/>
      <c r="F37" s="187"/>
      <c r="G37" s="399"/>
      <c r="H37" s="364"/>
      <c r="I37" s="365"/>
      <c r="J37" s="365"/>
      <c r="K37" s="365"/>
      <c r="L37" s="365"/>
    </row>
    <row r="38" spans="1:12" s="366" customFormat="1" ht="12.75" customHeight="1">
      <c r="A38" s="189"/>
      <c r="B38" s="400"/>
      <c r="C38" s="232"/>
      <c r="D38" s="233"/>
      <c r="E38" s="401"/>
      <c r="F38" s="402"/>
      <c r="G38" s="403"/>
      <c r="H38" s="364"/>
      <c r="I38" s="365"/>
      <c r="J38" s="365"/>
      <c r="K38" s="365"/>
      <c r="L38" s="365"/>
    </row>
    <row r="39" spans="1:12" s="244" customFormat="1" ht="42" customHeight="1">
      <c r="A39" s="196" t="s">
        <v>45</v>
      </c>
      <c r="B39" s="197" t="s">
        <v>256</v>
      </c>
      <c r="C39" s="294" t="s">
        <v>257</v>
      </c>
      <c r="D39" s="295" t="s">
        <v>161</v>
      </c>
      <c r="E39" s="296">
        <v>1</v>
      </c>
      <c r="F39" s="296"/>
      <c r="G39" s="240">
        <f>$E39*F39</f>
        <v>0</v>
      </c>
      <c r="H39" s="242"/>
      <c r="I39" s="241"/>
      <c r="J39" s="241"/>
      <c r="K39" s="241"/>
      <c r="L39" s="241"/>
    </row>
    <row r="40" spans="1:12" s="251" customFormat="1" ht="10.5" customHeight="1">
      <c r="A40" s="196"/>
      <c r="B40" s="205"/>
      <c r="C40" s="245"/>
      <c r="D40" s="246"/>
      <c r="E40" s="247"/>
      <c r="F40" s="247"/>
      <c r="G40" s="248"/>
      <c r="H40" s="249"/>
      <c r="I40" s="250"/>
      <c r="J40" s="250"/>
      <c r="K40" s="724"/>
      <c r="L40" s="250"/>
    </row>
    <row r="41" spans="1:20" s="510" customFormat="1" ht="23.25" customHeight="1">
      <c r="A41" s="196" t="s">
        <v>47</v>
      </c>
      <c r="B41" s="663" t="s">
        <v>1379</v>
      </c>
      <c r="C41" s="700" t="s">
        <v>1380</v>
      </c>
      <c r="D41" s="198" t="s">
        <v>1381</v>
      </c>
      <c r="E41" s="199">
        <v>1</v>
      </c>
      <c r="F41" s="199"/>
      <c r="G41" s="200">
        <f aca="true" t="shared" si="0" ref="G41:G49">E41*F41</f>
        <v>0</v>
      </c>
      <c r="H41" s="201">
        <v>0</v>
      </c>
      <c r="I41" s="201">
        <f>E41*H41</f>
        <v>0</v>
      </c>
      <c r="J41" s="701">
        <v>0.01933</v>
      </c>
      <c r="K41" s="673">
        <f>E41*J41</f>
        <v>0.01933</v>
      </c>
      <c r="L41" s="702"/>
      <c r="M41" s="701"/>
      <c r="N41" s="703"/>
      <c r="O41" s="704"/>
      <c r="P41" s="704"/>
      <c r="Q41" s="704"/>
      <c r="R41" s="704"/>
      <c r="S41" s="704"/>
      <c r="T41" s="704"/>
    </row>
    <row r="42" spans="1:20" s="510" customFormat="1" ht="23.25" customHeight="1">
      <c r="A42" s="196" t="s">
        <v>50</v>
      </c>
      <c r="B42" s="663" t="s">
        <v>1384</v>
      </c>
      <c r="C42" s="700" t="s">
        <v>1385</v>
      </c>
      <c r="D42" s="198" t="s">
        <v>1381</v>
      </c>
      <c r="E42" s="199">
        <v>2</v>
      </c>
      <c r="F42" s="199"/>
      <c r="G42" s="200">
        <f t="shared" si="0"/>
        <v>0</v>
      </c>
      <c r="H42" s="201">
        <v>0</v>
      </c>
      <c r="I42" s="201">
        <f>E42*H42</f>
        <v>0</v>
      </c>
      <c r="J42" s="701">
        <v>0.01946</v>
      </c>
      <c r="K42" s="673">
        <f>E42*J42</f>
        <v>0.03892</v>
      </c>
      <c r="L42" s="702"/>
      <c r="M42" s="701"/>
      <c r="N42" s="703"/>
      <c r="O42" s="704"/>
      <c r="P42" s="704"/>
      <c r="Q42" s="704"/>
      <c r="R42" s="704"/>
      <c r="S42" s="704"/>
      <c r="T42" s="704"/>
    </row>
    <row r="43" spans="1:20" s="510" customFormat="1" ht="18" customHeight="1">
      <c r="A43" s="196" t="s">
        <v>53</v>
      </c>
      <c r="B43" s="663" t="s">
        <v>1456</v>
      </c>
      <c r="C43" s="700" t="s">
        <v>1457</v>
      </c>
      <c r="D43" s="198" t="s">
        <v>1381</v>
      </c>
      <c r="E43" s="199">
        <v>1</v>
      </c>
      <c r="F43" s="199"/>
      <c r="G43" s="200">
        <f t="shared" si="0"/>
        <v>0</v>
      </c>
      <c r="H43" s="701"/>
      <c r="I43" s="701"/>
      <c r="J43" s="701"/>
      <c r="K43" s="702"/>
      <c r="L43" s="702"/>
      <c r="M43" s="701"/>
      <c r="N43" s="703"/>
      <c r="O43" s="704"/>
      <c r="P43" s="704"/>
      <c r="Q43" s="704"/>
      <c r="R43" s="704"/>
      <c r="S43" s="704"/>
      <c r="T43" s="704"/>
    </row>
    <row r="44" spans="1:20" s="204" customFormat="1" ht="19.5" customHeight="1">
      <c r="A44" s="196" t="s">
        <v>56</v>
      </c>
      <c r="B44" s="197">
        <v>766691914</v>
      </c>
      <c r="C44" s="136" t="s">
        <v>1393</v>
      </c>
      <c r="D44" s="198" t="s">
        <v>175</v>
      </c>
      <c r="E44" s="199">
        <v>10</v>
      </c>
      <c r="F44" s="199"/>
      <c r="G44" s="200">
        <f t="shared" si="0"/>
        <v>0</v>
      </c>
      <c r="H44" s="201">
        <v>0</v>
      </c>
      <c r="I44" s="201">
        <f>E44*H44</f>
        <v>0</v>
      </c>
      <c r="J44" s="85">
        <v>0.024</v>
      </c>
      <c r="K44" s="673">
        <f>E44*J44</f>
        <v>0.24</v>
      </c>
      <c r="L44" s="673"/>
      <c r="M44" s="85"/>
      <c r="N44" s="202"/>
      <c r="O44" s="203"/>
      <c r="P44" s="203"/>
      <c r="Q44" s="203"/>
      <c r="R44" s="203"/>
      <c r="S44" s="203"/>
      <c r="T44" s="203"/>
    </row>
    <row r="45" spans="1:20" s="204" customFormat="1" ht="23.25" customHeight="1">
      <c r="A45" s="196" t="s">
        <v>58</v>
      </c>
      <c r="B45" s="197">
        <v>968062745</v>
      </c>
      <c r="C45" s="136" t="s">
        <v>1695</v>
      </c>
      <c r="D45" s="198" t="s">
        <v>46</v>
      </c>
      <c r="E45" s="199">
        <f>SUM(D46)</f>
        <v>1.68</v>
      </c>
      <c r="F45" s="199"/>
      <c r="G45" s="200">
        <f>E45*F45</f>
        <v>0</v>
      </c>
      <c r="H45" s="201">
        <v>0</v>
      </c>
      <c r="I45" s="201">
        <f>E45*H45</f>
        <v>0</v>
      </c>
      <c r="J45" s="85">
        <v>0.024</v>
      </c>
      <c r="K45" s="673">
        <f>E45*J45</f>
        <v>0.04032</v>
      </c>
      <c r="L45" s="673"/>
      <c r="M45" s="85"/>
      <c r="N45" s="202"/>
      <c r="O45" s="203"/>
      <c r="P45" s="203"/>
      <c r="Q45" s="203"/>
      <c r="R45" s="203"/>
      <c r="S45" s="203"/>
      <c r="T45" s="203"/>
    </row>
    <row r="46" spans="1:20" s="214" customFormat="1" ht="15" customHeight="1">
      <c r="A46" s="196"/>
      <c r="B46" s="706"/>
      <c r="C46" s="707" t="s">
        <v>1696</v>
      </c>
      <c r="D46" s="708">
        <f>1.4*1.2</f>
        <v>1.68</v>
      </c>
      <c r="E46" s="709"/>
      <c r="F46" s="709"/>
      <c r="G46" s="710"/>
      <c r="H46" s="210"/>
      <c r="I46" s="210"/>
      <c r="J46" s="211"/>
      <c r="K46" s="673"/>
      <c r="L46" s="705"/>
      <c r="M46" s="211"/>
      <c r="N46" s="212"/>
      <c r="O46" s="213"/>
      <c r="P46" s="213"/>
      <c r="Q46" s="213"/>
      <c r="R46" s="213"/>
      <c r="S46" s="213"/>
      <c r="T46" s="213"/>
    </row>
    <row r="47" spans="1:20" s="204" customFormat="1" ht="28.5" customHeight="1">
      <c r="A47" s="196" t="s">
        <v>61</v>
      </c>
      <c r="B47" s="672" t="s">
        <v>1516</v>
      </c>
      <c r="C47" s="667" t="s">
        <v>1517</v>
      </c>
      <c r="D47" s="198" t="s">
        <v>1381</v>
      </c>
      <c r="E47" s="199">
        <v>1</v>
      </c>
      <c r="F47" s="199"/>
      <c r="G47" s="200">
        <f t="shared" si="0"/>
        <v>0</v>
      </c>
      <c r="H47" s="201"/>
      <c r="I47" s="201"/>
      <c r="J47" s="85"/>
      <c r="K47" s="673"/>
      <c r="L47" s="673"/>
      <c r="M47" s="85"/>
      <c r="N47" s="202"/>
      <c r="O47" s="203"/>
      <c r="P47" s="203"/>
      <c r="Q47" s="203"/>
      <c r="R47" s="203"/>
      <c r="S47" s="203"/>
      <c r="T47" s="203"/>
    </row>
    <row r="48" spans="1:20" s="204" customFormat="1" ht="28.5" customHeight="1">
      <c r="A48" s="196" t="s">
        <v>63</v>
      </c>
      <c r="B48" s="672" t="s">
        <v>1553</v>
      </c>
      <c r="C48" s="667" t="s">
        <v>1554</v>
      </c>
      <c r="D48" s="198" t="s">
        <v>1381</v>
      </c>
      <c r="E48" s="199">
        <v>1</v>
      </c>
      <c r="F48" s="199"/>
      <c r="G48" s="200">
        <f>E48*F48</f>
        <v>0</v>
      </c>
      <c r="H48" s="201"/>
      <c r="I48" s="201"/>
      <c r="J48" s="85"/>
      <c r="K48" s="673"/>
      <c r="L48" s="673"/>
      <c r="M48" s="85"/>
      <c r="N48" s="202"/>
      <c r="O48" s="203"/>
      <c r="P48" s="203"/>
      <c r="Q48" s="203"/>
      <c r="R48" s="203"/>
      <c r="S48" s="203"/>
      <c r="T48" s="203"/>
    </row>
    <row r="49" spans="1:20" s="204" customFormat="1" ht="23.25" customHeight="1">
      <c r="A49" s="196" t="s">
        <v>64</v>
      </c>
      <c r="B49" s="197" t="s">
        <v>1376</v>
      </c>
      <c r="C49" s="136" t="s">
        <v>1377</v>
      </c>
      <c r="D49" s="198" t="s">
        <v>46</v>
      </c>
      <c r="E49" s="199">
        <f>SUM(D50)</f>
        <v>10.158000000000001</v>
      </c>
      <c r="F49" s="199"/>
      <c r="G49" s="200">
        <f t="shared" si="0"/>
        <v>0</v>
      </c>
      <c r="H49" s="201">
        <v>0</v>
      </c>
      <c r="I49" s="201">
        <f>E49*H49</f>
        <v>0</v>
      </c>
      <c r="J49" s="85">
        <v>0.131</v>
      </c>
      <c r="K49" s="673">
        <f>E49*J49</f>
        <v>1.3306980000000002</v>
      </c>
      <c r="L49" s="673"/>
      <c r="M49" s="85"/>
      <c r="N49" s="202"/>
      <c r="O49" s="203"/>
      <c r="P49" s="203"/>
      <c r="Q49" s="203"/>
      <c r="R49" s="203"/>
      <c r="S49" s="203"/>
      <c r="T49" s="203"/>
    </row>
    <row r="50" spans="1:20" s="214" customFormat="1" ht="15" customHeight="1">
      <c r="A50" s="196"/>
      <c r="B50" s="205"/>
      <c r="C50" s="206" t="s">
        <v>1522</v>
      </c>
      <c r="D50" s="207">
        <f>(1.5+2.7)*2.7-0.6*1.97</f>
        <v>10.158000000000001</v>
      </c>
      <c r="E50" s="208"/>
      <c r="F50" s="208"/>
      <c r="G50" s="209"/>
      <c r="H50" s="210"/>
      <c r="I50" s="210"/>
      <c r="J50" s="211"/>
      <c r="K50" s="673"/>
      <c r="L50" s="705"/>
      <c r="M50" s="211"/>
      <c r="N50" s="212"/>
      <c r="O50" s="213"/>
      <c r="P50" s="213"/>
      <c r="Q50" s="213"/>
      <c r="R50" s="213"/>
      <c r="S50" s="213"/>
      <c r="T50" s="213"/>
    </row>
    <row r="51" spans="1:20" s="204" customFormat="1" ht="23.25" customHeight="1">
      <c r="A51" s="196" t="s">
        <v>66</v>
      </c>
      <c r="B51" s="197" t="s">
        <v>1523</v>
      </c>
      <c r="C51" s="136" t="s">
        <v>1513</v>
      </c>
      <c r="D51" s="198" t="s">
        <v>46</v>
      </c>
      <c r="E51" s="199">
        <f>SUM(D52)</f>
        <v>24.143500000000003</v>
      </c>
      <c r="F51" s="199"/>
      <c r="G51" s="200">
        <f>E51*F51</f>
        <v>0</v>
      </c>
      <c r="H51" s="201">
        <v>0</v>
      </c>
      <c r="I51" s="201">
        <f>E51*H51</f>
        <v>0</v>
      </c>
      <c r="J51" s="85">
        <v>0.261</v>
      </c>
      <c r="K51" s="673">
        <f>E51*J51</f>
        <v>6.301453500000001</v>
      </c>
      <c r="L51" s="673"/>
      <c r="M51" s="85"/>
      <c r="N51" s="202"/>
      <c r="O51" s="203"/>
      <c r="P51" s="203"/>
      <c r="Q51" s="203"/>
      <c r="R51" s="203"/>
      <c r="S51" s="203"/>
      <c r="T51" s="203"/>
    </row>
    <row r="52" spans="1:20" s="214" customFormat="1" ht="15" customHeight="1">
      <c r="A52" s="196"/>
      <c r="B52" s="205"/>
      <c r="C52" s="206" t="s">
        <v>1514</v>
      </c>
      <c r="D52" s="207">
        <f>9.46*3.6-0.925*2-3.75*2.15</f>
        <v>24.143500000000003</v>
      </c>
      <c r="E52" s="208"/>
      <c r="F52" s="208"/>
      <c r="G52" s="209"/>
      <c r="H52" s="210"/>
      <c r="I52" s="210"/>
      <c r="J52" s="211"/>
      <c r="K52" s="673"/>
      <c r="L52" s="705"/>
      <c r="M52" s="211"/>
      <c r="N52" s="212"/>
      <c r="O52" s="213"/>
      <c r="P52" s="213"/>
      <c r="Q52" s="213"/>
      <c r="R52" s="213"/>
      <c r="S52" s="213"/>
      <c r="T52" s="213"/>
    </row>
    <row r="53" spans="1:20" s="204" customFormat="1" ht="23.25" customHeight="1">
      <c r="A53" s="196" t="s">
        <v>70</v>
      </c>
      <c r="B53" s="197">
        <v>968072455</v>
      </c>
      <c r="C53" s="136" t="s">
        <v>1089</v>
      </c>
      <c r="D53" s="198" t="s">
        <v>46</v>
      </c>
      <c r="E53" s="199">
        <f>SUM(D54)</f>
        <v>12.017</v>
      </c>
      <c r="F53" s="199"/>
      <c r="G53" s="200">
        <f>E53*F53</f>
        <v>0</v>
      </c>
      <c r="H53" s="201">
        <v>0</v>
      </c>
      <c r="I53" s="201">
        <f>E53*H53</f>
        <v>0</v>
      </c>
      <c r="J53" s="85">
        <v>0.076</v>
      </c>
      <c r="K53" s="673">
        <f>E53*J53</f>
        <v>0.9132919999999999</v>
      </c>
      <c r="L53" s="673"/>
      <c r="M53" s="85"/>
      <c r="N53" s="202"/>
      <c r="O53" s="203"/>
      <c r="P53" s="203"/>
      <c r="Q53" s="203"/>
      <c r="R53" s="203"/>
      <c r="S53" s="203"/>
      <c r="T53" s="203"/>
    </row>
    <row r="54" spans="1:20" s="214" customFormat="1" ht="15" customHeight="1">
      <c r="A54" s="196"/>
      <c r="B54" s="706"/>
      <c r="C54" s="707" t="s">
        <v>1511</v>
      </c>
      <c r="D54" s="708">
        <f>0.6*1.97*2+0.8*1.97*5+0.9*1.97*1</f>
        <v>12.017</v>
      </c>
      <c r="E54" s="709"/>
      <c r="F54" s="709"/>
      <c r="G54" s="710"/>
      <c r="H54" s="210"/>
      <c r="I54" s="210"/>
      <c r="J54" s="211"/>
      <c r="K54" s="673"/>
      <c r="L54" s="705"/>
      <c r="M54" s="211"/>
      <c r="N54" s="212"/>
      <c r="O54" s="213"/>
      <c r="P54" s="213"/>
      <c r="Q54" s="213"/>
      <c r="R54" s="213"/>
      <c r="S54" s="213"/>
      <c r="T54" s="213"/>
    </row>
    <row r="55" spans="1:20" s="204" customFormat="1" ht="23.25" customHeight="1">
      <c r="A55" s="196" t="s">
        <v>74</v>
      </c>
      <c r="B55" s="197">
        <v>968072456</v>
      </c>
      <c r="C55" s="136" t="s">
        <v>1512</v>
      </c>
      <c r="D55" s="198" t="s">
        <v>46</v>
      </c>
      <c r="E55" s="199">
        <f>SUM(D56)</f>
        <v>11.2625</v>
      </c>
      <c r="F55" s="199"/>
      <c r="G55" s="200">
        <f>E55*F55</f>
        <v>0</v>
      </c>
      <c r="H55" s="201">
        <v>0</v>
      </c>
      <c r="I55" s="201">
        <f>E55*H55</f>
        <v>0</v>
      </c>
      <c r="J55" s="85">
        <v>0.063</v>
      </c>
      <c r="K55" s="673">
        <f>E55*J55</f>
        <v>0.7095374999999999</v>
      </c>
      <c r="L55" s="673"/>
      <c r="M55" s="85"/>
      <c r="N55" s="202"/>
      <c r="O55" s="203"/>
      <c r="P55" s="203"/>
      <c r="Q55" s="203"/>
      <c r="R55" s="203"/>
      <c r="S55" s="203"/>
      <c r="T55" s="203"/>
    </row>
    <row r="56" spans="1:20" s="214" customFormat="1" ht="15" customHeight="1">
      <c r="A56" s="196"/>
      <c r="B56" s="706"/>
      <c r="C56" s="707" t="s">
        <v>1552</v>
      </c>
      <c r="D56" s="708">
        <f>3.75*2.15+1.6*2</f>
        <v>11.2625</v>
      </c>
      <c r="E56" s="709"/>
      <c r="F56" s="709"/>
      <c r="G56" s="710"/>
      <c r="H56" s="210"/>
      <c r="I56" s="210"/>
      <c r="J56" s="211"/>
      <c r="K56" s="673"/>
      <c r="L56" s="705"/>
      <c r="M56" s="211"/>
      <c r="N56" s="212"/>
      <c r="O56" s="213"/>
      <c r="P56" s="213"/>
      <c r="Q56" s="213"/>
      <c r="R56" s="213"/>
      <c r="S56" s="213"/>
      <c r="T56" s="213"/>
    </row>
    <row r="57" spans="1:20" s="204" customFormat="1" ht="24.75" customHeight="1">
      <c r="A57" s="196" t="s">
        <v>77</v>
      </c>
      <c r="B57" s="197" t="s">
        <v>1373</v>
      </c>
      <c r="C57" s="136" t="s">
        <v>1374</v>
      </c>
      <c r="D57" s="198" t="s">
        <v>52</v>
      </c>
      <c r="E57" s="199">
        <f>SUM(D58)</f>
        <v>0.21000000000000002</v>
      </c>
      <c r="F57" s="199"/>
      <c r="G57" s="200">
        <f>E57*F57</f>
        <v>0</v>
      </c>
      <c r="H57" s="201">
        <v>0</v>
      </c>
      <c r="I57" s="201">
        <f>E57*H57</f>
        <v>0</v>
      </c>
      <c r="J57" s="85">
        <v>1.8</v>
      </c>
      <c r="K57" s="673">
        <f>E57*J57</f>
        <v>0.37800000000000006</v>
      </c>
      <c r="L57" s="673"/>
      <c r="M57" s="85"/>
      <c r="N57" s="202"/>
      <c r="O57" s="203"/>
      <c r="P57" s="203"/>
      <c r="Q57" s="203"/>
      <c r="R57" s="203"/>
      <c r="S57" s="203"/>
      <c r="T57" s="203"/>
    </row>
    <row r="58" spans="1:20" s="214" customFormat="1" ht="15" customHeight="1">
      <c r="A58" s="196"/>
      <c r="B58" s="706"/>
      <c r="C58" s="707" t="s">
        <v>1521</v>
      </c>
      <c r="D58" s="708">
        <f>1.05*0.4*0.5</f>
        <v>0.21000000000000002</v>
      </c>
      <c r="E58" s="709"/>
      <c r="F58" s="709"/>
      <c r="G58" s="710"/>
      <c r="H58" s="210"/>
      <c r="I58" s="210"/>
      <c r="J58" s="211"/>
      <c r="K58" s="673"/>
      <c r="L58" s="705"/>
      <c r="M58" s="211"/>
      <c r="N58" s="212"/>
      <c r="O58" s="213"/>
      <c r="P58" s="213"/>
      <c r="Q58" s="213"/>
      <c r="R58" s="213"/>
      <c r="S58" s="213"/>
      <c r="T58" s="213"/>
    </row>
    <row r="59" spans="1:20" s="204" customFormat="1" ht="24.75" customHeight="1">
      <c r="A59" s="196" t="s">
        <v>80</v>
      </c>
      <c r="B59" s="197">
        <v>971033681</v>
      </c>
      <c r="C59" s="136" t="s">
        <v>1518</v>
      </c>
      <c r="D59" s="198" t="s">
        <v>52</v>
      </c>
      <c r="E59" s="199">
        <f>SUM(D60)</f>
        <v>5.768750000000001</v>
      </c>
      <c r="F59" s="199"/>
      <c r="G59" s="200">
        <f>E59*F59</f>
        <v>0</v>
      </c>
      <c r="H59" s="201">
        <v>0</v>
      </c>
      <c r="I59" s="201">
        <f>E59*H59</f>
        <v>0</v>
      </c>
      <c r="J59" s="85">
        <v>1.8</v>
      </c>
      <c r="K59" s="673">
        <f>E59*J59</f>
        <v>10.383750000000001</v>
      </c>
      <c r="L59" s="673"/>
      <c r="M59" s="85"/>
      <c r="N59" s="202"/>
      <c r="O59" s="203"/>
      <c r="P59" s="203"/>
      <c r="Q59" s="203"/>
      <c r="R59" s="203"/>
      <c r="S59" s="203"/>
      <c r="T59" s="203"/>
    </row>
    <row r="60" spans="1:20" s="214" customFormat="1" ht="15" customHeight="1">
      <c r="A60" s="196"/>
      <c r="B60" s="706"/>
      <c r="C60" s="707" t="s">
        <v>1520</v>
      </c>
      <c r="D60" s="708">
        <f>2.2*0.65*0.65*3+2.2*1*0.65+2.85*0.75*0.65+0.45*0.55*0.65</f>
        <v>5.768750000000001</v>
      </c>
      <c r="E60" s="709"/>
      <c r="F60" s="709"/>
      <c r="G60" s="710"/>
      <c r="H60" s="210"/>
      <c r="I60" s="210"/>
      <c r="J60" s="211"/>
      <c r="K60" s="673"/>
      <c r="L60" s="705"/>
      <c r="M60" s="211"/>
      <c r="N60" s="212"/>
      <c r="O60" s="213"/>
      <c r="P60" s="213"/>
      <c r="Q60" s="213"/>
      <c r="R60" s="213"/>
      <c r="S60" s="213"/>
      <c r="T60" s="213"/>
    </row>
    <row r="61" spans="1:20" s="244" customFormat="1" ht="19.5" customHeight="1">
      <c r="A61" s="196" t="s">
        <v>82</v>
      </c>
      <c r="B61" s="197">
        <v>766411821</v>
      </c>
      <c r="C61" s="294" t="s">
        <v>258</v>
      </c>
      <c r="D61" s="295" t="s">
        <v>46</v>
      </c>
      <c r="E61" s="404">
        <f>SUM(D62)</f>
        <v>53.39999999999999</v>
      </c>
      <c r="F61" s="404"/>
      <c r="G61" s="200">
        <f>E61*F61</f>
        <v>0</v>
      </c>
      <c r="H61" s="242">
        <v>0</v>
      </c>
      <c r="I61" s="242">
        <f>E61*H61</f>
        <v>0</v>
      </c>
      <c r="J61" s="243">
        <v>0.010980000000000002</v>
      </c>
      <c r="K61" s="769">
        <f>E61*J61</f>
        <v>0.586332</v>
      </c>
      <c r="L61" s="243"/>
      <c r="M61" s="243"/>
      <c r="N61" s="405"/>
      <c r="O61" s="406"/>
      <c r="P61" s="406"/>
      <c r="Q61" s="406"/>
      <c r="R61" s="406"/>
      <c r="S61" s="406"/>
      <c r="T61" s="406"/>
    </row>
    <row r="62" spans="1:12" s="251" customFormat="1" ht="17.25" customHeight="1">
      <c r="A62" s="196"/>
      <c r="B62" s="205"/>
      <c r="C62" s="245" t="s">
        <v>1515</v>
      </c>
      <c r="D62" s="246">
        <f>(4.5+4.3+2.3+0.9+3.2+1.2+2.2+3.7+1.2+3+0.9+3.9+3.5+0.8)*1.5</f>
        <v>53.39999999999999</v>
      </c>
      <c r="E62" s="247"/>
      <c r="F62" s="247"/>
      <c r="G62" s="248"/>
      <c r="H62" s="249"/>
      <c r="I62" s="250"/>
      <c r="J62" s="250"/>
      <c r="K62" s="724"/>
      <c r="L62" s="250"/>
    </row>
    <row r="63" spans="1:12" s="251" customFormat="1" ht="11.25" customHeight="1">
      <c r="A63" s="196"/>
      <c r="B63" s="205"/>
      <c r="C63" s="245"/>
      <c r="D63" s="246"/>
      <c r="E63" s="247"/>
      <c r="F63" s="247"/>
      <c r="G63" s="248"/>
      <c r="H63" s="249"/>
      <c r="I63" s="250"/>
      <c r="J63" s="250"/>
      <c r="K63" s="724"/>
      <c r="L63" s="250"/>
    </row>
    <row r="64" spans="1:20" s="204" customFormat="1" ht="19.5" customHeight="1">
      <c r="A64" s="196" t="s">
        <v>84</v>
      </c>
      <c r="B64" s="197" t="s">
        <v>65</v>
      </c>
      <c r="C64" s="136" t="s">
        <v>1390</v>
      </c>
      <c r="D64" s="198" t="s">
        <v>46</v>
      </c>
      <c r="E64" s="199">
        <f>SUM(D65)</f>
        <v>35.25</v>
      </c>
      <c r="F64" s="199"/>
      <c r="G64" s="200">
        <f>E64*F64</f>
        <v>0</v>
      </c>
      <c r="H64" s="201">
        <v>0</v>
      </c>
      <c r="I64" s="201">
        <f>E64*H64</f>
        <v>0</v>
      </c>
      <c r="J64" s="85">
        <v>0.068</v>
      </c>
      <c r="K64" s="673">
        <f>E64*J64</f>
        <v>2.3970000000000002</v>
      </c>
      <c r="L64" s="673"/>
      <c r="M64" s="85"/>
      <c r="N64" s="202"/>
      <c r="O64" s="203"/>
      <c r="P64" s="203"/>
      <c r="Q64" s="203"/>
      <c r="R64" s="203"/>
      <c r="S64" s="203"/>
      <c r="T64" s="203"/>
    </row>
    <row r="65" spans="1:20" s="214" customFormat="1" ht="15" customHeight="1">
      <c r="A65" s="196"/>
      <c r="B65" s="205" t="s">
        <v>1458</v>
      </c>
      <c r="C65" s="206" t="s">
        <v>1519</v>
      </c>
      <c r="D65" s="207">
        <f>(1.8+1.2)*2+(9.9+3.6+4.4+1.6)*1.5</f>
        <v>35.25</v>
      </c>
      <c r="E65" s="208"/>
      <c r="F65" s="208"/>
      <c r="G65" s="209"/>
      <c r="H65" s="210"/>
      <c r="I65" s="210"/>
      <c r="J65" s="211"/>
      <c r="K65" s="673"/>
      <c r="L65" s="705"/>
      <c r="M65" s="211"/>
      <c r="N65" s="212"/>
      <c r="O65" s="213"/>
      <c r="P65" s="213"/>
      <c r="Q65" s="213"/>
      <c r="R65" s="213"/>
      <c r="S65" s="213"/>
      <c r="T65" s="213"/>
    </row>
    <row r="66" spans="1:20" s="204" customFormat="1" ht="29.25" customHeight="1">
      <c r="A66" s="196" t="s">
        <v>85</v>
      </c>
      <c r="B66" s="197" t="s">
        <v>67</v>
      </c>
      <c r="C66" s="136" t="s">
        <v>1389</v>
      </c>
      <c r="D66" s="198" t="s">
        <v>46</v>
      </c>
      <c r="E66" s="199">
        <f>SUM(D67)</f>
        <v>171.00200000000004</v>
      </c>
      <c r="F66" s="199"/>
      <c r="G66" s="200">
        <f>E66*F66</f>
        <v>0</v>
      </c>
      <c r="H66" s="201">
        <v>0</v>
      </c>
      <c r="I66" s="201">
        <f>E66*H66</f>
        <v>0</v>
      </c>
      <c r="J66" s="85">
        <v>0.046</v>
      </c>
      <c r="K66" s="673">
        <f>E66*J66</f>
        <v>7.866092000000002</v>
      </c>
      <c r="L66" s="673"/>
      <c r="M66" s="85"/>
      <c r="N66" s="202"/>
      <c r="O66" s="203"/>
      <c r="P66" s="203"/>
      <c r="Q66" s="203"/>
      <c r="R66" s="203"/>
      <c r="S66" s="203"/>
      <c r="T66" s="203"/>
    </row>
    <row r="67" spans="1:20" s="214" customFormat="1" ht="27.75" customHeight="1">
      <c r="A67" s="196"/>
      <c r="B67" s="205"/>
      <c r="C67" s="206" t="s">
        <v>1524</v>
      </c>
      <c r="D67" s="207">
        <f>(1.8+1.2)*1.6+(9.7+4.7+13.4+43.6)*2.3+25.5*0.8-0.8*1.97*9-0.6*1.97*2-0.8*0.8*3+0.05</f>
        <v>171.00200000000004</v>
      </c>
      <c r="E67" s="208"/>
      <c r="F67" s="208"/>
      <c r="G67" s="209"/>
      <c r="H67" s="210"/>
      <c r="I67" s="210"/>
      <c r="J67" s="211"/>
      <c r="K67" s="673"/>
      <c r="L67" s="705"/>
      <c r="M67" s="211"/>
      <c r="N67" s="212"/>
      <c r="O67" s="213"/>
      <c r="P67" s="213"/>
      <c r="Q67" s="213"/>
      <c r="R67" s="213"/>
      <c r="S67" s="213"/>
      <c r="T67" s="213"/>
    </row>
    <row r="68" spans="1:20" s="204" customFormat="1" ht="29.25" customHeight="1">
      <c r="A68" s="196" t="s">
        <v>89</v>
      </c>
      <c r="B68" s="197">
        <v>978013141</v>
      </c>
      <c r="C68" s="136" t="s">
        <v>1525</v>
      </c>
      <c r="D68" s="198" t="s">
        <v>46</v>
      </c>
      <c r="E68" s="199">
        <f>SUM(D69)</f>
        <v>126</v>
      </c>
      <c r="F68" s="199"/>
      <c r="G68" s="200">
        <f>E68*F68</f>
        <v>0</v>
      </c>
      <c r="H68" s="201">
        <v>0</v>
      </c>
      <c r="I68" s="201">
        <f>E68*H68</f>
        <v>0</v>
      </c>
      <c r="J68" s="85">
        <v>0.01</v>
      </c>
      <c r="K68" s="673">
        <f>E68*J68</f>
        <v>1.26</v>
      </c>
      <c r="L68" s="673"/>
      <c r="M68" s="85"/>
      <c r="N68" s="202"/>
      <c r="O68" s="203"/>
      <c r="P68" s="203"/>
      <c r="Q68" s="203"/>
      <c r="R68" s="203"/>
      <c r="S68" s="203"/>
      <c r="T68" s="203"/>
    </row>
    <row r="69" spans="1:20" s="214" customFormat="1" ht="18.75" customHeight="1">
      <c r="A69" s="196"/>
      <c r="B69" s="205"/>
      <c r="C69" s="206" t="s">
        <v>1526</v>
      </c>
      <c r="D69" s="207">
        <f>(9.7+4.7+13.4+43.6)*1.3+25.5*1.3+0.03</f>
        <v>126</v>
      </c>
      <c r="E69" s="208"/>
      <c r="F69" s="208"/>
      <c r="G69" s="209"/>
      <c r="H69" s="210"/>
      <c r="I69" s="210"/>
      <c r="J69" s="211"/>
      <c r="K69" s="673"/>
      <c r="L69" s="705"/>
      <c r="M69" s="211"/>
      <c r="N69" s="212"/>
      <c r="O69" s="213"/>
      <c r="P69" s="213"/>
      <c r="Q69" s="213"/>
      <c r="R69" s="213"/>
      <c r="S69" s="213"/>
      <c r="T69" s="213"/>
    </row>
    <row r="70" spans="1:20" s="204" customFormat="1" ht="24.75" customHeight="1">
      <c r="A70" s="196" t="s">
        <v>91</v>
      </c>
      <c r="B70" s="672" t="s">
        <v>1449</v>
      </c>
      <c r="C70" s="667" t="s">
        <v>1450</v>
      </c>
      <c r="D70" s="668" t="s">
        <v>116</v>
      </c>
      <c r="E70" s="669">
        <f>SUM(D71)</f>
        <v>19.5</v>
      </c>
      <c r="F70" s="669"/>
      <c r="G70" s="200">
        <f>E70*F70</f>
        <v>0</v>
      </c>
      <c r="H70" s="201">
        <v>0</v>
      </c>
      <c r="I70" s="201">
        <f>E70*H70</f>
        <v>0</v>
      </c>
      <c r="J70" s="85">
        <v>0.008</v>
      </c>
      <c r="K70" s="673">
        <f>E70*J70</f>
        <v>0.156</v>
      </c>
      <c r="L70" s="673"/>
      <c r="M70" s="85"/>
      <c r="N70" s="202"/>
      <c r="O70" s="203"/>
      <c r="P70" s="203"/>
      <c r="Q70" s="203"/>
      <c r="R70" s="203"/>
      <c r="S70" s="203"/>
      <c r="T70" s="203"/>
    </row>
    <row r="71" spans="1:20" s="214" customFormat="1" ht="15" customHeight="1">
      <c r="A71" s="196"/>
      <c r="B71" s="205" t="s">
        <v>1386</v>
      </c>
      <c r="C71" s="206" t="s">
        <v>1527</v>
      </c>
      <c r="D71" s="207">
        <f>6*3.25</f>
        <v>19.5</v>
      </c>
      <c r="E71" s="208"/>
      <c r="F71" s="208"/>
      <c r="G71" s="209"/>
      <c r="H71" s="210"/>
      <c r="I71" s="210"/>
      <c r="J71" s="211"/>
      <c r="K71" s="673"/>
      <c r="L71" s="705"/>
      <c r="M71" s="211"/>
      <c r="N71" s="212"/>
      <c r="O71" s="213"/>
      <c r="P71" s="213"/>
      <c r="Q71" s="213"/>
      <c r="R71" s="213"/>
      <c r="S71" s="213"/>
      <c r="T71" s="213"/>
    </row>
    <row r="72" spans="1:20" s="204" customFormat="1" ht="29.25" customHeight="1">
      <c r="A72" s="196" t="s">
        <v>93</v>
      </c>
      <c r="B72" s="672" t="s">
        <v>1451</v>
      </c>
      <c r="C72" s="667" t="s">
        <v>1452</v>
      </c>
      <c r="D72" s="668" t="s">
        <v>46</v>
      </c>
      <c r="E72" s="669">
        <f>SUM(D73)</f>
        <v>13.3</v>
      </c>
      <c r="F72" s="669"/>
      <c r="G72" s="200">
        <f>E72*F72</f>
        <v>0</v>
      </c>
      <c r="H72" s="201">
        <v>0</v>
      </c>
      <c r="I72" s="201">
        <f>E72*H72</f>
        <v>0</v>
      </c>
      <c r="J72" s="85">
        <v>0.04</v>
      </c>
      <c r="K72" s="673">
        <f>E72*J72</f>
        <v>0.532</v>
      </c>
      <c r="L72" s="673"/>
      <c r="M72" s="85"/>
      <c r="N72" s="202"/>
      <c r="O72" s="203"/>
      <c r="P72" s="203"/>
      <c r="Q72" s="203"/>
      <c r="R72" s="203"/>
      <c r="S72" s="203"/>
      <c r="T72" s="203"/>
    </row>
    <row r="73" spans="1:20" s="214" customFormat="1" ht="15" customHeight="1">
      <c r="A73" s="196"/>
      <c r="B73" s="205" t="s">
        <v>1386</v>
      </c>
      <c r="C73" s="206" t="s">
        <v>1528</v>
      </c>
      <c r="D73" s="207">
        <f>5.8+7.5</f>
        <v>13.3</v>
      </c>
      <c r="E73" s="208"/>
      <c r="F73" s="208"/>
      <c r="G73" s="209"/>
      <c r="H73" s="210"/>
      <c r="I73" s="210"/>
      <c r="J73" s="211"/>
      <c r="K73" s="673"/>
      <c r="L73" s="705"/>
      <c r="M73" s="211"/>
      <c r="N73" s="212"/>
      <c r="O73" s="213"/>
      <c r="P73" s="213"/>
      <c r="Q73" s="213"/>
      <c r="R73" s="213"/>
      <c r="S73" s="213"/>
      <c r="T73" s="213"/>
    </row>
    <row r="74" spans="1:20" s="204" customFormat="1" ht="30" customHeight="1">
      <c r="A74" s="196" t="s">
        <v>95</v>
      </c>
      <c r="B74" s="672" t="s">
        <v>1529</v>
      </c>
      <c r="C74" s="667" t="s">
        <v>1530</v>
      </c>
      <c r="D74" s="668" t="s">
        <v>46</v>
      </c>
      <c r="E74" s="669">
        <f>SUM(D75)</f>
        <v>156.2</v>
      </c>
      <c r="F74" s="669"/>
      <c r="G74" s="200">
        <f>E74*F74</f>
        <v>0</v>
      </c>
      <c r="H74" s="201">
        <v>0</v>
      </c>
      <c r="I74" s="201">
        <f>E74*H74</f>
        <v>0</v>
      </c>
      <c r="J74" s="85">
        <v>0.01</v>
      </c>
      <c r="K74" s="673">
        <f>E74*J74</f>
        <v>1.5619999999999998</v>
      </c>
      <c r="L74" s="673"/>
      <c r="M74" s="85"/>
      <c r="N74" s="202"/>
      <c r="O74" s="203"/>
      <c r="P74" s="203"/>
      <c r="Q74" s="203"/>
      <c r="R74" s="203"/>
      <c r="S74" s="203"/>
      <c r="T74" s="203"/>
    </row>
    <row r="75" spans="1:20" s="214" customFormat="1" ht="15" customHeight="1">
      <c r="A75" s="196"/>
      <c r="B75" s="205" t="s">
        <v>1386</v>
      </c>
      <c r="C75" s="206" t="s">
        <v>1581</v>
      </c>
      <c r="D75" s="207">
        <f>1.2+2.8+3.4+33.6+58+57.2</f>
        <v>156.2</v>
      </c>
      <c r="E75" s="208"/>
      <c r="F75" s="208"/>
      <c r="G75" s="209"/>
      <c r="H75" s="210"/>
      <c r="I75" s="210"/>
      <c r="J75" s="211"/>
      <c r="K75" s="673"/>
      <c r="L75" s="705"/>
      <c r="M75" s="211"/>
      <c r="N75" s="212"/>
      <c r="O75" s="213"/>
      <c r="P75" s="213"/>
      <c r="Q75" s="213"/>
      <c r="R75" s="213"/>
      <c r="S75" s="213"/>
      <c r="T75" s="213"/>
    </row>
    <row r="76" spans="1:20" s="204" customFormat="1" ht="29.25" customHeight="1">
      <c r="A76" s="196" t="s">
        <v>103</v>
      </c>
      <c r="B76" s="197">
        <v>965081223</v>
      </c>
      <c r="C76" s="136" t="s">
        <v>1693</v>
      </c>
      <c r="D76" s="198" t="s">
        <v>46</v>
      </c>
      <c r="E76" s="199">
        <f>SUM(D77)</f>
        <v>54.6</v>
      </c>
      <c r="F76" s="199"/>
      <c r="G76" s="200">
        <f>E76*F76</f>
        <v>0</v>
      </c>
      <c r="H76" s="201">
        <v>0</v>
      </c>
      <c r="I76" s="201">
        <f>E76*H76</f>
        <v>0</v>
      </c>
      <c r="J76" s="85">
        <v>0.057</v>
      </c>
      <c r="K76" s="673">
        <f>E76*J76</f>
        <v>3.1122</v>
      </c>
      <c r="L76" s="673"/>
      <c r="M76" s="85"/>
      <c r="N76" s="202"/>
      <c r="O76" s="203"/>
      <c r="P76" s="203"/>
      <c r="Q76" s="203"/>
      <c r="R76" s="203"/>
      <c r="S76" s="203"/>
      <c r="T76" s="203"/>
    </row>
    <row r="77" spans="1:20" s="214" customFormat="1" ht="15" customHeight="1">
      <c r="A77" s="196"/>
      <c r="B77" s="205"/>
      <c r="C77" s="206" t="s">
        <v>1582</v>
      </c>
      <c r="D77" s="207">
        <f>1.2+5.8+7.8+3.4+2.8+33.6</f>
        <v>54.6</v>
      </c>
      <c r="E77" s="208"/>
      <c r="F77" s="208"/>
      <c r="G77" s="209"/>
      <c r="H77" s="210"/>
      <c r="I77" s="210"/>
      <c r="J77" s="211"/>
      <c r="K77" s="673"/>
      <c r="L77" s="705"/>
      <c r="M77" s="211"/>
      <c r="N77" s="212"/>
      <c r="O77" s="213"/>
      <c r="P77" s="213"/>
      <c r="Q77" s="213"/>
      <c r="R77" s="213"/>
      <c r="S77" s="213"/>
      <c r="T77" s="213"/>
    </row>
    <row r="78" spans="1:20" s="204" customFormat="1" ht="20.25" customHeight="1">
      <c r="A78" s="196" t="s">
        <v>107</v>
      </c>
      <c r="B78" s="197" t="s">
        <v>1531</v>
      </c>
      <c r="C78" s="136" t="s">
        <v>1532</v>
      </c>
      <c r="D78" s="198" t="s">
        <v>46</v>
      </c>
      <c r="E78" s="199">
        <f>SUM(D79)</f>
        <v>115.2</v>
      </c>
      <c r="F78" s="199"/>
      <c r="G78" s="200">
        <f>E78*F78</f>
        <v>0</v>
      </c>
      <c r="H78" s="201">
        <v>0</v>
      </c>
      <c r="I78" s="201">
        <f>E78*H78</f>
        <v>0</v>
      </c>
      <c r="J78" s="85">
        <v>0.025</v>
      </c>
      <c r="K78" s="673">
        <f>E78*J78</f>
        <v>2.8800000000000003</v>
      </c>
      <c r="L78" s="673"/>
      <c r="M78" s="85"/>
      <c r="N78" s="202"/>
      <c r="O78" s="203"/>
      <c r="P78" s="203"/>
      <c r="Q78" s="203"/>
      <c r="R78" s="203"/>
      <c r="S78" s="203"/>
      <c r="T78" s="203"/>
    </row>
    <row r="79" spans="1:20" s="214" customFormat="1" ht="15" customHeight="1">
      <c r="A79" s="196"/>
      <c r="B79" s="205"/>
      <c r="C79" s="206" t="s">
        <v>1583</v>
      </c>
      <c r="D79" s="207">
        <f>57.2+58</f>
        <v>115.2</v>
      </c>
      <c r="E79" s="208"/>
      <c r="F79" s="208"/>
      <c r="G79" s="209"/>
      <c r="H79" s="210"/>
      <c r="I79" s="210"/>
      <c r="J79" s="211"/>
      <c r="K79" s="673"/>
      <c r="L79" s="705"/>
      <c r="M79" s="211"/>
      <c r="N79" s="212"/>
      <c r="O79" s="213"/>
      <c r="P79" s="213"/>
      <c r="Q79" s="213"/>
      <c r="R79" s="213"/>
      <c r="S79" s="213"/>
      <c r="T79" s="213"/>
    </row>
    <row r="80" spans="1:20" s="204" customFormat="1" ht="29.25" customHeight="1">
      <c r="A80" s="196" t="s">
        <v>1358</v>
      </c>
      <c r="B80" s="197" t="s">
        <v>48</v>
      </c>
      <c r="C80" s="136" t="s">
        <v>49</v>
      </c>
      <c r="D80" s="198" t="s">
        <v>46</v>
      </c>
      <c r="E80" s="199">
        <f>SUM(D81)</f>
        <v>168.2</v>
      </c>
      <c r="F80" s="199"/>
      <c r="G80" s="200">
        <f>E80*F80</f>
        <v>0</v>
      </c>
      <c r="H80" s="201">
        <v>0</v>
      </c>
      <c r="I80" s="201">
        <f>E80*H80</f>
        <v>0</v>
      </c>
      <c r="J80" s="85">
        <v>0.09</v>
      </c>
      <c r="K80" s="673">
        <f>E80*J80</f>
        <v>15.137999999999998</v>
      </c>
      <c r="L80" s="673"/>
      <c r="M80" s="85"/>
      <c r="N80" s="202"/>
      <c r="O80" s="203"/>
      <c r="P80" s="203"/>
      <c r="Q80" s="203"/>
      <c r="R80" s="203"/>
      <c r="S80" s="203"/>
      <c r="T80" s="203"/>
    </row>
    <row r="81" spans="1:20" s="214" customFormat="1" ht="15" customHeight="1">
      <c r="A81" s="196"/>
      <c r="B81" s="205"/>
      <c r="C81" s="206" t="s">
        <v>1584</v>
      </c>
      <c r="D81" s="207">
        <f>53+58+57.2</f>
        <v>168.2</v>
      </c>
      <c r="E81" s="208"/>
      <c r="F81" s="208"/>
      <c r="G81" s="209"/>
      <c r="H81" s="210"/>
      <c r="I81" s="210"/>
      <c r="J81" s="211"/>
      <c r="K81" s="673"/>
      <c r="L81" s="705"/>
      <c r="M81" s="211"/>
      <c r="N81" s="212"/>
      <c r="O81" s="213"/>
      <c r="P81" s="213"/>
      <c r="Q81" s="213"/>
      <c r="R81" s="213"/>
      <c r="S81" s="213"/>
      <c r="T81" s="213"/>
    </row>
    <row r="82" spans="1:20" s="204" customFormat="1" ht="29.25" customHeight="1">
      <c r="A82" s="196" t="s">
        <v>1359</v>
      </c>
      <c r="B82" s="197" t="s">
        <v>51</v>
      </c>
      <c r="C82" s="136" t="s">
        <v>1035</v>
      </c>
      <c r="D82" s="198" t="s">
        <v>52</v>
      </c>
      <c r="E82" s="199">
        <f>SUM(D83)</f>
        <v>11.100000000000001</v>
      </c>
      <c r="F82" s="199"/>
      <c r="G82" s="200">
        <f>E82*F82</f>
        <v>0</v>
      </c>
      <c r="H82" s="201">
        <v>0</v>
      </c>
      <c r="I82" s="201">
        <f>E82*H82</f>
        <v>0</v>
      </c>
      <c r="J82" s="85">
        <v>2.2</v>
      </c>
      <c r="K82" s="673">
        <f>E82*J82</f>
        <v>24.420000000000005</v>
      </c>
      <c r="L82" s="673"/>
      <c r="M82" s="211"/>
      <c r="N82" s="202"/>
      <c r="O82" s="203"/>
      <c r="P82" s="203"/>
      <c r="Q82" s="203"/>
      <c r="R82" s="203"/>
      <c r="S82" s="203"/>
      <c r="T82" s="203"/>
    </row>
    <row r="83" spans="1:20" s="214" customFormat="1" ht="15" customHeight="1">
      <c r="A83" s="196"/>
      <c r="B83" s="205"/>
      <c r="C83" s="206" t="s">
        <v>1534</v>
      </c>
      <c r="D83" s="207">
        <f>(53+58)*0.1</f>
        <v>11.100000000000001</v>
      </c>
      <c r="E83" s="208"/>
      <c r="F83" s="208"/>
      <c r="G83" s="209"/>
      <c r="H83" s="210"/>
      <c r="I83" s="210"/>
      <c r="J83" s="211"/>
      <c r="K83" s="673"/>
      <c r="L83" s="705"/>
      <c r="M83" s="211"/>
      <c r="N83" s="212"/>
      <c r="O83" s="213"/>
      <c r="P83" s="213"/>
      <c r="Q83" s="213"/>
      <c r="R83" s="213"/>
      <c r="S83" s="213"/>
      <c r="T83" s="213"/>
    </row>
    <row r="84" spans="1:20" s="204" customFormat="1" ht="29.25" customHeight="1">
      <c r="A84" s="196" t="s">
        <v>1360</v>
      </c>
      <c r="B84" s="197" t="s">
        <v>54</v>
      </c>
      <c r="C84" s="136" t="s">
        <v>55</v>
      </c>
      <c r="D84" s="198" t="s">
        <v>52</v>
      </c>
      <c r="E84" s="199">
        <f>E82</f>
        <v>11.100000000000001</v>
      </c>
      <c r="F84" s="199"/>
      <c r="G84" s="200">
        <f>E84*F84</f>
        <v>0</v>
      </c>
      <c r="H84" s="201">
        <v>0</v>
      </c>
      <c r="I84" s="201">
        <f>E84*H84</f>
        <v>0</v>
      </c>
      <c r="J84" s="85">
        <v>0.044</v>
      </c>
      <c r="K84" s="673">
        <f>E84*J84</f>
        <v>0.48840000000000006</v>
      </c>
      <c r="L84" s="673"/>
      <c r="M84" s="85"/>
      <c r="N84" s="202"/>
      <c r="O84" s="203"/>
      <c r="P84" s="203"/>
      <c r="Q84" s="203"/>
      <c r="R84" s="203"/>
      <c r="S84" s="203"/>
      <c r="T84" s="203"/>
    </row>
    <row r="85" spans="1:20" s="204" customFormat="1" ht="21.75" customHeight="1">
      <c r="A85" s="196" t="s">
        <v>1361</v>
      </c>
      <c r="B85" s="197">
        <v>711131811</v>
      </c>
      <c r="C85" s="136" t="s">
        <v>57</v>
      </c>
      <c r="D85" s="198" t="s">
        <v>46</v>
      </c>
      <c r="E85" s="199">
        <f>SUM(D86)</f>
        <v>111</v>
      </c>
      <c r="F85" s="199"/>
      <c r="G85" s="200">
        <f>E85*F85</f>
        <v>0</v>
      </c>
      <c r="H85" s="201">
        <v>0</v>
      </c>
      <c r="I85" s="201">
        <f>E85*H85</f>
        <v>0</v>
      </c>
      <c r="J85" s="85">
        <v>0.004</v>
      </c>
      <c r="K85" s="673">
        <f>E85*J85</f>
        <v>0.444</v>
      </c>
      <c r="L85" s="673"/>
      <c r="M85" s="85"/>
      <c r="N85" s="202"/>
      <c r="O85" s="203"/>
      <c r="P85" s="203"/>
      <c r="Q85" s="203"/>
      <c r="R85" s="203"/>
      <c r="S85" s="203"/>
      <c r="T85" s="203"/>
    </row>
    <row r="86" spans="1:20" s="214" customFormat="1" ht="15" customHeight="1">
      <c r="A86" s="196"/>
      <c r="B86" s="205"/>
      <c r="C86" s="206" t="s">
        <v>1533</v>
      </c>
      <c r="D86" s="207">
        <f>53+58</f>
        <v>111</v>
      </c>
      <c r="E86" s="208"/>
      <c r="F86" s="208"/>
      <c r="G86" s="209"/>
      <c r="H86" s="210"/>
      <c r="I86" s="210"/>
      <c r="J86" s="211"/>
      <c r="K86" s="673"/>
      <c r="L86" s="705"/>
      <c r="M86" s="211"/>
      <c r="N86" s="212"/>
      <c r="O86" s="213"/>
      <c r="P86" s="213"/>
      <c r="Q86" s="213"/>
      <c r="R86" s="213"/>
      <c r="S86" s="213"/>
      <c r="T86" s="213"/>
    </row>
    <row r="87" spans="1:20" s="204" customFormat="1" ht="29.25" customHeight="1">
      <c r="A87" s="196" t="s">
        <v>1362</v>
      </c>
      <c r="B87" s="197" t="s">
        <v>59</v>
      </c>
      <c r="C87" s="136" t="s">
        <v>60</v>
      </c>
      <c r="D87" s="198" t="s">
        <v>52</v>
      </c>
      <c r="E87" s="199">
        <f>SUM(D88)</f>
        <v>16.65</v>
      </c>
      <c r="F87" s="199"/>
      <c r="G87" s="200">
        <f>E87*F87</f>
        <v>0</v>
      </c>
      <c r="H87" s="201">
        <v>0</v>
      </c>
      <c r="I87" s="201">
        <f>E87*H87</f>
        <v>0</v>
      </c>
      <c r="J87" s="85">
        <v>1.4</v>
      </c>
      <c r="K87" s="673">
        <f>E87*J87</f>
        <v>23.309999999999995</v>
      </c>
      <c r="L87" s="673"/>
      <c r="M87" s="85"/>
      <c r="N87" s="202"/>
      <c r="O87" s="203"/>
      <c r="P87" s="203"/>
      <c r="Q87" s="203"/>
      <c r="R87" s="203"/>
      <c r="S87" s="203"/>
      <c r="T87" s="203"/>
    </row>
    <row r="88" spans="1:20" s="214" customFormat="1" ht="15" customHeight="1">
      <c r="A88" s="196"/>
      <c r="B88" s="205"/>
      <c r="C88" s="206" t="s">
        <v>1535</v>
      </c>
      <c r="D88" s="207">
        <f>111*0.15</f>
        <v>16.65</v>
      </c>
      <c r="E88" s="208"/>
      <c r="F88" s="208"/>
      <c r="G88" s="209"/>
      <c r="H88" s="210"/>
      <c r="I88" s="210"/>
      <c r="J88" s="211"/>
      <c r="K88" s="85"/>
      <c r="L88" s="211"/>
      <c r="M88" s="211"/>
      <c r="N88" s="212"/>
      <c r="O88" s="213"/>
      <c r="P88" s="213"/>
      <c r="Q88" s="213"/>
      <c r="R88" s="213"/>
      <c r="S88" s="213"/>
      <c r="T88" s="213"/>
    </row>
    <row r="89" spans="1:12" s="251" customFormat="1" ht="17.25" customHeight="1">
      <c r="A89" s="196"/>
      <c r="B89" s="205"/>
      <c r="C89" s="245"/>
      <c r="D89" s="246"/>
      <c r="E89" s="247"/>
      <c r="F89" s="247"/>
      <c r="G89" s="248"/>
      <c r="H89" s="249"/>
      <c r="I89" s="250"/>
      <c r="J89" s="250"/>
      <c r="K89" s="250"/>
      <c r="L89" s="250"/>
    </row>
    <row r="90" spans="1:20" s="204" customFormat="1" ht="29.25" customHeight="1">
      <c r="A90" s="196"/>
      <c r="B90" s="197" t="s">
        <v>68</v>
      </c>
      <c r="C90" s="215" t="s">
        <v>69</v>
      </c>
      <c r="D90" s="198"/>
      <c r="E90" s="199"/>
      <c r="F90" s="199"/>
      <c r="G90" s="200"/>
      <c r="H90" s="201"/>
      <c r="I90" s="216">
        <f>SUM(I34:I88)</f>
        <v>0</v>
      </c>
      <c r="J90" s="217"/>
      <c r="K90" s="217">
        <f>SUM(K39:K88)</f>
        <v>104.50732500000001</v>
      </c>
      <c r="L90" s="85"/>
      <c r="M90" s="85"/>
      <c r="N90" s="202"/>
      <c r="O90" s="203"/>
      <c r="P90" s="203"/>
      <c r="Q90" s="203"/>
      <c r="R90" s="203"/>
      <c r="S90" s="203"/>
      <c r="T90" s="203"/>
    </row>
    <row r="91" spans="1:20" s="204" customFormat="1" ht="36.75" customHeight="1">
      <c r="A91" s="196" t="s">
        <v>1363</v>
      </c>
      <c r="B91" s="237" t="s">
        <v>1038</v>
      </c>
      <c r="C91" s="711" t="s">
        <v>1039</v>
      </c>
      <c r="D91" s="712" t="s">
        <v>73</v>
      </c>
      <c r="E91" s="713">
        <f>K90</f>
        <v>104.50732500000001</v>
      </c>
      <c r="F91" s="199"/>
      <c r="G91" s="200">
        <f>E91*F91</f>
        <v>0</v>
      </c>
      <c r="H91" s="85"/>
      <c r="I91" s="85"/>
      <c r="J91" s="201"/>
      <c r="K91" s="201"/>
      <c r="L91" s="85"/>
      <c r="M91" s="85"/>
      <c r="N91" s="202"/>
      <c r="O91" s="203"/>
      <c r="P91" s="203"/>
      <c r="Q91" s="203"/>
      <c r="R91" s="203"/>
      <c r="S91" s="203"/>
      <c r="T91" s="203"/>
    </row>
    <row r="92" spans="1:20" s="204" customFormat="1" ht="22.5" customHeight="1">
      <c r="A92" s="196" t="s">
        <v>1364</v>
      </c>
      <c r="B92" s="197" t="s">
        <v>71</v>
      </c>
      <c r="C92" s="136" t="s">
        <v>72</v>
      </c>
      <c r="D92" s="198" t="s">
        <v>73</v>
      </c>
      <c r="E92" s="199">
        <f>E91</f>
        <v>104.50732500000001</v>
      </c>
      <c r="F92" s="199"/>
      <c r="G92" s="200">
        <f>E92*F92</f>
        <v>0</v>
      </c>
      <c r="H92" s="85"/>
      <c r="I92" s="85"/>
      <c r="J92" s="201"/>
      <c r="K92" s="201"/>
      <c r="L92" s="85"/>
      <c r="M92" s="85"/>
      <c r="N92" s="202"/>
      <c r="O92" s="203"/>
      <c r="P92" s="203"/>
      <c r="Q92" s="203"/>
      <c r="R92" s="203"/>
      <c r="S92" s="203"/>
      <c r="T92" s="203"/>
    </row>
    <row r="93" spans="1:20" s="214" customFormat="1" ht="36.75" customHeight="1">
      <c r="A93" s="196" t="s">
        <v>1365</v>
      </c>
      <c r="B93" s="237" t="s">
        <v>75</v>
      </c>
      <c r="C93" s="711" t="s">
        <v>1040</v>
      </c>
      <c r="D93" s="714" t="s">
        <v>73</v>
      </c>
      <c r="E93" s="713">
        <f>E91</f>
        <v>104.50732500000001</v>
      </c>
      <c r="F93" s="199"/>
      <c r="G93" s="200">
        <f>E93*F93</f>
        <v>0</v>
      </c>
      <c r="H93" s="211"/>
      <c r="I93" s="85"/>
      <c r="J93" s="210"/>
      <c r="K93" s="210"/>
      <c r="L93" s="211"/>
      <c r="M93" s="211"/>
      <c r="N93" s="212"/>
      <c r="O93" s="213"/>
      <c r="P93" s="213"/>
      <c r="Q93" s="213"/>
      <c r="R93" s="213"/>
      <c r="S93" s="213"/>
      <c r="T93" s="213"/>
    </row>
    <row r="94" spans="1:20" s="204" customFormat="1" ht="29.25" customHeight="1">
      <c r="A94" s="196" t="s">
        <v>1366</v>
      </c>
      <c r="B94" s="237" t="s">
        <v>78</v>
      </c>
      <c r="C94" s="711" t="s">
        <v>1051</v>
      </c>
      <c r="D94" s="712" t="s">
        <v>73</v>
      </c>
      <c r="E94" s="713">
        <f>SUM(D95)</f>
        <v>1045.1000000000001</v>
      </c>
      <c r="F94" s="199"/>
      <c r="G94" s="200">
        <f>E94*F94</f>
        <v>0</v>
      </c>
      <c r="H94" s="85"/>
      <c r="I94" s="85"/>
      <c r="J94" s="201"/>
      <c r="K94" s="201"/>
      <c r="L94" s="85"/>
      <c r="M94" s="85"/>
      <c r="N94" s="202"/>
      <c r="O94" s="203"/>
      <c r="P94" s="203"/>
      <c r="Q94" s="203"/>
      <c r="R94" s="203"/>
      <c r="S94" s="203"/>
      <c r="T94" s="203"/>
    </row>
    <row r="95" spans="1:20" s="214" customFormat="1" ht="15" customHeight="1">
      <c r="A95" s="196"/>
      <c r="B95" s="205"/>
      <c r="C95" s="206" t="s">
        <v>1698</v>
      </c>
      <c r="D95" s="207">
        <f>104.51*10</f>
        <v>1045.1000000000001</v>
      </c>
      <c r="E95" s="208"/>
      <c r="F95" s="208"/>
      <c r="G95" s="209"/>
      <c r="H95" s="211"/>
      <c r="I95" s="85"/>
      <c r="J95" s="210"/>
      <c r="K95" s="210"/>
      <c r="L95" s="211"/>
      <c r="M95" s="211"/>
      <c r="N95" s="212"/>
      <c r="O95" s="213"/>
      <c r="P95" s="213"/>
      <c r="Q95" s="213"/>
      <c r="R95" s="213"/>
      <c r="S95" s="213"/>
      <c r="T95" s="213"/>
    </row>
    <row r="96" spans="1:20" s="214" customFormat="1" ht="30" customHeight="1">
      <c r="A96" s="196" t="s">
        <v>1367</v>
      </c>
      <c r="B96" s="237" t="s">
        <v>1041</v>
      </c>
      <c r="C96" s="711" t="s">
        <v>1042</v>
      </c>
      <c r="D96" s="714" t="s">
        <v>73</v>
      </c>
      <c r="E96" s="713">
        <f>K49+K51+K57+K68+K74+K59+K66</f>
        <v>29.081993500000003</v>
      </c>
      <c r="F96" s="199"/>
      <c r="G96" s="200">
        <f>E96*F96</f>
        <v>0</v>
      </c>
      <c r="H96" s="211"/>
      <c r="I96" s="85"/>
      <c r="J96" s="210"/>
      <c r="K96" s="210"/>
      <c r="L96" s="211"/>
      <c r="M96" s="211"/>
      <c r="N96" s="212"/>
      <c r="O96" s="213"/>
      <c r="P96" s="213"/>
      <c r="Q96" s="213"/>
      <c r="R96" s="213"/>
      <c r="S96" s="213"/>
      <c r="T96" s="213"/>
    </row>
    <row r="97" spans="1:20" s="204" customFormat="1" ht="29.25" customHeight="1">
      <c r="A97" s="196" t="s">
        <v>1368</v>
      </c>
      <c r="B97" s="197">
        <v>997221861</v>
      </c>
      <c r="C97" s="136" t="s">
        <v>1052</v>
      </c>
      <c r="D97" s="198" t="s">
        <v>73</v>
      </c>
      <c r="E97" s="199">
        <f>K80</f>
        <v>15.137999999999998</v>
      </c>
      <c r="F97" s="199"/>
      <c r="G97" s="200">
        <f>E97*F97</f>
        <v>0</v>
      </c>
      <c r="H97" s="85"/>
      <c r="I97" s="85"/>
      <c r="J97" s="201"/>
      <c r="K97" s="201"/>
      <c r="L97" s="85"/>
      <c r="M97" s="85"/>
      <c r="N97" s="202"/>
      <c r="O97" s="203"/>
      <c r="P97" s="203"/>
      <c r="Q97" s="203"/>
      <c r="R97" s="203"/>
      <c r="S97" s="203"/>
      <c r="T97" s="203"/>
    </row>
    <row r="98" spans="1:20" s="204" customFormat="1" ht="29.25" customHeight="1">
      <c r="A98" s="196" t="s">
        <v>1369</v>
      </c>
      <c r="B98" s="197">
        <v>997221862</v>
      </c>
      <c r="C98" s="136" t="s">
        <v>81</v>
      </c>
      <c r="D98" s="198" t="s">
        <v>73</v>
      </c>
      <c r="E98" s="199">
        <f>K82+K84</f>
        <v>24.908400000000004</v>
      </c>
      <c r="F98" s="199"/>
      <c r="G98" s="200">
        <f>E98*F98</f>
        <v>0</v>
      </c>
      <c r="H98" s="85"/>
      <c r="I98" s="85"/>
      <c r="J98" s="201"/>
      <c r="K98" s="201"/>
      <c r="L98" s="85"/>
      <c r="M98" s="85"/>
      <c r="N98" s="202"/>
      <c r="O98" s="203"/>
      <c r="P98" s="203"/>
      <c r="Q98" s="203"/>
      <c r="R98" s="203"/>
      <c r="S98" s="203"/>
      <c r="T98" s="203"/>
    </row>
    <row r="99" spans="1:20" s="204" customFormat="1" ht="29.25" customHeight="1">
      <c r="A99" s="196" t="s">
        <v>1370</v>
      </c>
      <c r="B99" s="197">
        <v>997013871</v>
      </c>
      <c r="C99" s="136" t="s">
        <v>1064</v>
      </c>
      <c r="D99" s="198" t="s">
        <v>73</v>
      </c>
      <c r="E99" s="199">
        <f>K41+K42+K55+K37+K53+K72</f>
        <v>2.2130795</v>
      </c>
      <c r="F99" s="199"/>
      <c r="G99" s="200">
        <f>$E99*F99</f>
        <v>0</v>
      </c>
      <c r="H99" s="85"/>
      <c r="I99" s="85"/>
      <c r="J99" s="201"/>
      <c r="K99" s="201"/>
      <c r="L99" s="85"/>
      <c r="M99" s="85"/>
      <c r="N99" s="202"/>
      <c r="O99" s="203"/>
      <c r="P99" s="203"/>
      <c r="Q99" s="203"/>
      <c r="R99" s="203"/>
      <c r="S99" s="203"/>
      <c r="T99" s="203"/>
    </row>
    <row r="100" spans="1:20" s="204" customFormat="1" ht="34.5" customHeight="1">
      <c r="A100" s="196" t="s">
        <v>1371</v>
      </c>
      <c r="B100" s="237" t="s">
        <v>1043</v>
      </c>
      <c r="C100" s="711" t="s">
        <v>1044</v>
      </c>
      <c r="D100" s="712" t="s">
        <v>73</v>
      </c>
      <c r="E100" s="713">
        <f>K44+K61+K78+K70+K45</f>
        <v>3.9026520000000002</v>
      </c>
      <c r="F100" s="199"/>
      <c r="G100" s="200">
        <f>E100*F100</f>
        <v>0</v>
      </c>
      <c r="H100" s="85"/>
      <c r="I100" s="85"/>
      <c r="J100" s="201"/>
      <c r="K100" s="201"/>
      <c r="L100" s="85"/>
      <c r="M100" s="85"/>
      <c r="N100" s="202"/>
      <c r="O100" s="203"/>
      <c r="P100" s="203"/>
      <c r="Q100" s="203"/>
      <c r="R100" s="203"/>
      <c r="S100" s="203"/>
      <c r="T100" s="203"/>
    </row>
    <row r="101" spans="1:20" s="204" customFormat="1" ht="34.5" customHeight="1">
      <c r="A101" s="196" t="s">
        <v>1372</v>
      </c>
      <c r="B101" s="237" t="s">
        <v>1045</v>
      </c>
      <c r="C101" s="711" t="s">
        <v>1046</v>
      </c>
      <c r="D101" s="712" t="s">
        <v>73</v>
      </c>
      <c r="E101" s="713">
        <f>K85</f>
        <v>0.444</v>
      </c>
      <c r="F101" s="199"/>
      <c r="G101" s="200">
        <f>E101*F101</f>
        <v>0</v>
      </c>
      <c r="H101" s="217"/>
      <c r="I101" s="217"/>
      <c r="J101" s="201"/>
      <c r="K101" s="216"/>
      <c r="L101" s="85"/>
      <c r="M101" s="85"/>
      <c r="N101" s="202"/>
      <c r="O101" s="203"/>
      <c r="P101" s="203"/>
      <c r="Q101" s="203"/>
      <c r="R101" s="203"/>
      <c r="S101" s="203"/>
      <c r="T101" s="203"/>
    </row>
    <row r="102" spans="1:20" s="204" customFormat="1" ht="34.5" customHeight="1">
      <c r="A102" s="196" t="s">
        <v>1648</v>
      </c>
      <c r="B102" s="237" t="s">
        <v>1110</v>
      </c>
      <c r="C102" s="711" t="s">
        <v>1111</v>
      </c>
      <c r="D102" s="712" t="s">
        <v>73</v>
      </c>
      <c r="E102" s="713">
        <f>K76+K64</f>
        <v>5.5092</v>
      </c>
      <c r="F102" s="199"/>
      <c r="G102" s="200">
        <f>E102*F102</f>
        <v>0</v>
      </c>
      <c r="H102" s="217"/>
      <c r="I102" s="217"/>
      <c r="J102" s="201"/>
      <c r="K102" s="216"/>
      <c r="L102" s="85"/>
      <c r="M102" s="85"/>
      <c r="N102" s="202"/>
      <c r="O102" s="203"/>
      <c r="P102" s="203"/>
      <c r="Q102" s="203"/>
      <c r="R102" s="203"/>
      <c r="S102" s="203"/>
      <c r="T102" s="203"/>
    </row>
    <row r="103" spans="1:20" s="204" customFormat="1" ht="34.5" customHeight="1">
      <c r="A103" s="196" t="s">
        <v>1649</v>
      </c>
      <c r="B103" s="237">
        <v>997013873</v>
      </c>
      <c r="C103" s="711" t="s">
        <v>1394</v>
      </c>
      <c r="D103" s="712" t="s">
        <v>73</v>
      </c>
      <c r="E103" s="713">
        <f>K87</f>
        <v>23.309999999999995</v>
      </c>
      <c r="F103" s="199"/>
      <c r="G103" s="200">
        <f>E103*F103</f>
        <v>0</v>
      </c>
      <c r="H103" s="217"/>
      <c r="I103" s="217"/>
      <c r="J103" s="201"/>
      <c r="K103" s="216"/>
      <c r="L103" s="85"/>
      <c r="M103" s="85"/>
      <c r="N103" s="202"/>
      <c r="O103" s="203"/>
      <c r="P103" s="203"/>
      <c r="Q103" s="203"/>
      <c r="R103" s="203"/>
      <c r="S103" s="203"/>
      <c r="T103" s="203"/>
    </row>
    <row r="104" spans="1:20" s="204" customFormat="1" ht="12" customHeight="1">
      <c r="A104" s="196"/>
      <c r="B104" s="197"/>
      <c r="C104" s="136"/>
      <c r="D104" s="198"/>
      <c r="E104" s="199"/>
      <c r="F104" s="199"/>
      <c r="G104" s="200"/>
      <c r="H104" s="201"/>
      <c r="I104" s="201"/>
      <c r="J104" s="85"/>
      <c r="K104" s="85"/>
      <c r="L104" s="85"/>
      <c r="M104" s="85"/>
      <c r="N104" s="202"/>
      <c r="O104" s="203"/>
      <c r="P104" s="203"/>
      <c r="Q104" s="203"/>
      <c r="R104" s="203"/>
      <c r="S104" s="203"/>
      <c r="T104" s="203"/>
    </row>
    <row r="105" spans="1:20" s="204" customFormat="1" ht="29.25" customHeight="1">
      <c r="A105" s="196" t="s">
        <v>1650</v>
      </c>
      <c r="B105" s="197" t="s">
        <v>86</v>
      </c>
      <c r="C105" s="136" t="s">
        <v>87</v>
      </c>
      <c r="D105" s="198" t="s">
        <v>52</v>
      </c>
      <c r="E105" s="199">
        <f>SUM(D106)</f>
        <v>13.875</v>
      </c>
      <c r="F105" s="199"/>
      <c r="G105" s="200">
        <f>E105*F105</f>
        <v>0</v>
      </c>
      <c r="H105" s="201">
        <v>0</v>
      </c>
      <c r="I105" s="201">
        <f>E105*H105</f>
        <v>0</v>
      </c>
      <c r="J105" s="85">
        <v>0</v>
      </c>
      <c r="K105" s="85">
        <f>E105*J105</f>
        <v>0</v>
      </c>
      <c r="L105" s="85"/>
      <c r="M105" s="85"/>
      <c r="N105" s="202"/>
      <c r="O105" s="203"/>
      <c r="P105" s="203"/>
      <c r="Q105" s="203"/>
      <c r="R105" s="203"/>
      <c r="S105" s="203"/>
      <c r="T105" s="203"/>
    </row>
    <row r="106" spans="1:20" s="214" customFormat="1" ht="15" customHeight="1">
      <c r="A106" s="196"/>
      <c r="B106" s="205"/>
      <c r="C106" s="206" t="s">
        <v>1536</v>
      </c>
      <c r="D106" s="207">
        <f>(53+58)*0.125</f>
        <v>13.875</v>
      </c>
      <c r="E106" s="208"/>
      <c r="F106" s="208"/>
      <c r="G106" s="209"/>
      <c r="H106" s="210"/>
      <c r="I106" s="210"/>
      <c r="J106" s="211"/>
      <c r="K106" s="85"/>
      <c r="L106" s="211"/>
      <c r="M106" s="211"/>
      <c r="N106" s="212"/>
      <c r="O106" s="213"/>
      <c r="P106" s="213"/>
      <c r="Q106" s="213"/>
      <c r="R106" s="213"/>
      <c r="S106" s="213"/>
      <c r="T106" s="213"/>
    </row>
    <row r="107" spans="1:20" s="204" customFormat="1" ht="33.75" customHeight="1">
      <c r="A107" s="196" t="s">
        <v>1651</v>
      </c>
      <c r="B107" s="197" t="s">
        <v>90</v>
      </c>
      <c r="C107" s="136" t="s">
        <v>1395</v>
      </c>
      <c r="D107" s="198" t="s">
        <v>52</v>
      </c>
      <c r="E107" s="199">
        <f>E105</f>
        <v>13.875</v>
      </c>
      <c r="F107" s="199"/>
      <c r="G107" s="200">
        <f aca="true" t="shared" si="1" ref="G107:G112">E107*F107</f>
        <v>0</v>
      </c>
      <c r="H107" s="201">
        <v>0</v>
      </c>
      <c r="I107" s="201">
        <f>E107*H107</f>
        <v>0</v>
      </c>
      <c r="J107" s="85">
        <v>0</v>
      </c>
      <c r="K107" s="85">
        <f>E107*J107</f>
        <v>0</v>
      </c>
      <c r="L107" s="85"/>
      <c r="M107" s="85"/>
      <c r="N107" s="202"/>
      <c r="O107" s="203"/>
      <c r="P107" s="203"/>
      <c r="Q107" s="203"/>
      <c r="R107" s="203"/>
      <c r="S107" s="203"/>
      <c r="T107" s="203"/>
    </row>
    <row r="108" spans="1:20" s="204" customFormat="1" ht="32.25" customHeight="1">
      <c r="A108" s="196" t="s">
        <v>1652</v>
      </c>
      <c r="B108" s="197" t="s">
        <v>92</v>
      </c>
      <c r="C108" s="136" t="s">
        <v>1396</v>
      </c>
      <c r="D108" s="198" t="s">
        <v>52</v>
      </c>
      <c r="E108" s="199">
        <f>E107*10</f>
        <v>138.75</v>
      </c>
      <c r="F108" s="199"/>
      <c r="G108" s="200">
        <f t="shared" si="1"/>
        <v>0</v>
      </c>
      <c r="H108" s="201">
        <v>0</v>
      </c>
      <c r="I108" s="201">
        <f>E108*H108</f>
        <v>0</v>
      </c>
      <c r="J108" s="85">
        <v>0</v>
      </c>
      <c r="K108" s="85">
        <f>E108*J108</f>
        <v>0</v>
      </c>
      <c r="L108" s="85"/>
      <c r="M108" s="85"/>
      <c r="N108" s="202"/>
      <c r="O108" s="203"/>
      <c r="P108" s="203"/>
      <c r="Q108" s="203"/>
      <c r="R108" s="203"/>
      <c r="S108" s="203"/>
      <c r="T108" s="203"/>
    </row>
    <row r="109" spans="1:20" s="204" customFormat="1" ht="29.25" customHeight="1">
      <c r="A109" s="196" t="s">
        <v>1653</v>
      </c>
      <c r="B109" s="197" t="s">
        <v>94</v>
      </c>
      <c r="C109" s="136" t="s">
        <v>1397</v>
      </c>
      <c r="D109" s="198" t="s">
        <v>52</v>
      </c>
      <c r="E109" s="199">
        <f>E105</f>
        <v>13.875</v>
      </c>
      <c r="F109" s="199"/>
      <c r="G109" s="200">
        <f t="shared" si="1"/>
        <v>0</v>
      </c>
      <c r="H109" s="201">
        <v>0</v>
      </c>
      <c r="I109" s="201">
        <f>E109*H109</f>
        <v>0</v>
      </c>
      <c r="J109" s="85">
        <v>0</v>
      </c>
      <c r="K109" s="85">
        <f>E109*J109</f>
        <v>0</v>
      </c>
      <c r="L109" s="85"/>
      <c r="M109" s="85"/>
      <c r="N109" s="202"/>
      <c r="O109" s="203"/>
      <c r="P109" s="203"/>
      <c r="Q109" s="203"/>
      <c r="R109" s="203"/>
      <c r="S109" s="203"/>
      <c r="T109" s="203"/>
    </row>
    <row r="110" spans="1:62" s="204" customFormat="1" ht="29.25" customHeight="1">
      <c r="A110" s="196" t="s">
        <v>1654</v>
      </c>
      <c r="B110" s="197" t="s">
        <v>96</v>
      </c>
      <c r="C110" s="136" t="s">
        <v>97</v>
      </c>
      <c r="D110" s="198" t="s">
        <v>52</v>
      </c>
      <c r="E110" s="199">
        <f>E109</f>
        <v>13.875</v>
      </c>
      <c r="F110" s="199"/>
      <c r="G110" s="200">
        <f t="shared" si="1"/>
        <v>0</v>
      </c>
      <c r="H110" s="201"/>
      <c r="I110" s="201"/>
      <c r="J110" s="85"/>
      <c r="K110" s="85"/>
      <c r="L110" s="85"/>
      <c r="M110" s="85"/>
      <c r="N110" s="202"/>
      <c r="O110" s="203"/>
      <c r="P110" s="203"/>
      <c r="Q110" s="203"/>
      <c r="R110" s="203"/>
      <c r="S110" s="203"/>
      <c r="T110" s="203"/>
      <c r="AO110" s="204" t="s">
        <v>98</v>
      </c>
      <c r="AQ110" s="204" t="s">
        <v>99</v>
      </c>
      <c r="AR110" s="204" t="s">
        <v>100</v>
      </c>
      <c r="AV110" s="204" t="s">
        <v>101</v>
      </c>
      <c r="BB110" s="204">
        <f>IF(K110="základní",G110,0)</f>
        <v>0</v>
      </c>
      <c r="BC110" s="204">
        <f>IF(K110="snížená",G110,0)</f>
        <v>0</v>
      </c>
      <c r="BD110" s="204">
        <f>IF(K110="zákl. přenesená",G110,0)</f>
        <v>0</v>
      </c>
      <c r="BE110" s="204">
        <f>IF(K110="sníž. přenesená",G110,0)</f>
        <v>0</v>
      </c>
      <c r="BF110" s="204">
        <f>IF(K110="nulová",G110,0)</f>
        <v>0</v>
      </c>
      <c r="BG110" s="204" t="s">
        <v>43</v>
      </c>
      <c r="BH110" s="204">
        <f>ROUND(F110*E110,2)</f>
        <v>0</v>
      </c>
      <c r="BI110" s="204" t="s">
        <v>98</v>
      </c>
      <c r="BJ110" s="204" t="s">
        <v>102</v>
      </c>
    </row>
    <row r="111" spans="1:62" s="204" customFormat="1" ht="18" customHeight="1">
      <c r="A111" s="196" t="s">
        <v>1655</v>
      </c>
      <c r="B111" s="197" t="s">
        <v>104</v>
      </c>
      <c r="C111" s="136" t="s">
        <v>105</v>
      </c>
      <c r="D111" s="198" t="s">
        <v>52</v>
      </c>
      <c r="E111" s="199">
        <f>E110</f>
        <v>13.875</v>
      </c>
      <c r="F111" s="199"/>
      <c r="G111" s="200">
        <f t="shared" si="1"/>
        <v>0</v>
      </c>
      <c r="H111" s="201">
        <v>0</v>
      </c>
      <c r="I111" s="201">
        <f>E111*H111</f>
        <v>0</v>
      </c>
      <c r="J111" s="85">
        <v>0</v>
      </c>
      <c r="K111" s="85">
        <f>E111*J111</f>
        <v>0</v>
      </c>
      <c r="L111" s="85"/>
      <c r="M111" s="85"/>
      <c r="N111" s="202"/>
      <c r="O111" s="203"/>
      <c r="P111" s="203"/>
      <c r="Q111" s="203"/>
      <c r="R111" s="203"/>
      <c r="S111" s="203"/>
      <c r="T111" s="203"/>
      <c r="AO111" s="204" t="s">
        <v>98</v>
      </c>
      <c r="AQ111" s="204" t="s">
        <v>99</v>
      </c>
      <c r="AR111" s="204" t="s">
        <v>100</v>
      </c>
      <c r="AV111" s="204" t="s">
        <v>101</v>
      </c>
      <c r="BB111" s="204">
        <f>IF(K111="základní",G111,0)</f>
        <v>0</v>
      </c>
      <c r="BC111" s="204">
        <f>IF(K111="snížená",G111,0)</f>
        <v>0</v>
      </c>
      <c r="BD111" s="204">
        <f>IF(K111="zákl. přenesená",G111,0)</f>
        <v>0</v>
      </c>
      <c r="BE111" s="204">
        <f>IF(K111="sníž. přenesená",G111,0)</f>
        <v>0</v>
      </c>
      <c r="BF111" s="204">
        <f>IF(K111="nulová",G111,0)</f>
        <v>0</v>
      </c>
      <c r="BG111" s="204" t="s">
        <v>43</v>
      </c>
      <c r="BH111" s="204">
        <f>ROUND(F111*E111,2)</f>
        <v>0</v>
      </c>
      <c r="BI111" s="204" t="s">
        <v>98</v>
      </c>
      <c r="BJ111" s="204" t="s">
        <v>106</v>
      </c>
    </row>
    <row r="112" spans="1:62" s="204" customFormat="1" ht="29.25" customHeight="1">
      <c r="A112" s="196" t="s">
        <v>1697</v>
      </c>
      <c r="B112" s="197" t="s">
        <v>108</v>
      </c>
      <c r="C112" s="136" t="s">
        <v>1398</v>
      </c>
      <c r="D112" s="198" t="s">
        <v>73</v>
      </c>
      <c r="E112" s="199">
        <f>SUM(D113)</f>
        <v>24.984</v>
      </c>
      <c r="F112" s="199"/>
      <c r="G112" s="200">
        <f t="shared" si="1"/>
        <v>0</v>
      </c>
      <c r="H112" s="201">
        <v>0</v>
      </c>
      <c r="I112" s="201">
        <f>E112*H112</f>
        <v>0</v>
      </c>
      <c r="J112" s="85">
        <v>0</v>
      </c>
      <c r="K112" s="85">
        <f>E112*J112</f>
        <v>0</v>
      </c>
      <c r="L112" s="85"/>
      <c r="M112" s="85"/>
      <c r="N112" s="202"/>
      <c r="O112" s="203"/>
      <c r="P112" s="203"/>
      <c r="Q112" s="203"/>
      <c r="R112" s="203"/>
      <c r="S112" s="203"/>
      <c r="T112" s="203"/>
      <c r="AO112" s="204" t="s">
        <v>98</v>
      </c>
      <c r="AQ112" s="204" t="s">
        <v>99</v>
      </c>
      <c r="AR112" s="204" t="s">
        <v>100</v>
      </c>
      <c r="AV112" s="204" t="s">
        <v>101</v>
      </c>
      <c r="BB112" s="204">
        <f>IF(K112="základní",G112,0)</f>
        <v>0</v>
      </c>
      <c r="BC112" s="204">
        <f>IF(K112="snížená",G112,0)</f>
        <v>0</v>
      </c>
      <c r="BD112" s="204">
        <f>IF(K112="zákl. přenesená",G112,0)</f>
        <v>0</v>
      </c>
      <c r="BE112" s="204">
        <f>IF(K112="sníž. přenesená",G112,0)</f>
        <v>0</v>
      </c>
      <c r="BF112" s="204">
        <f>IF(K112="nulová",G112,0)</f>
        <v>0</v>
      </c>
      <c r="BG112" s="204" t="s">
        <v>43</v>
      </c>
      <c r="BH112" s="204">
        <f>ROUND(F112*E112,2)</f>
        <v>0</v>
      </c>
      <c r="BI112" s="204" t="s">
        <v>98</v>
      </c>
      <c r="BJ112" s="204" t="s">
        <v>109</v>
      </c>
    </row>
    <row r="113" spans="1:48" s="214" customFormat="1" ht="15" customHeight="1">
      <c r="A113" s="196"/>
      <c r="B113" s="205"/>
      <c r="C113" s="206" t="s">
        <v>1537</v>
      </c>
      <c r="D113" s="207">
        <f>13.88*1.8</f>
        <v>24.984</v>
      </c>
      <c r="E113" s="208"/>
      <c r="F113" s="208"/>
      <c r="G113" s="209"/>
      <c r="H113" s="210"/>
      <c r="I113" s="210"/>
      <c r="J113" s="211"/>
      <c r="K113" s="85"/>
      <c r="L113" s="211"/>
      <c r="M113" s="211"/>
      <c r="N113" s="212"/>
      <c r="O113" s="213"/>
      <c r="P113" s="213"/>
      <c r="Q113" s="213"/>
      <c r="R113" s="213"/>
      <c r="S113" s="213"/>
      <c r="T113" s="213"/>
      <c r="AQ113" s="214" t="s">
        <v>110</v>
      </c>
      <c r="AR113" s="214" t="s">
        <v>100</v>
      </c>
      <c r="AS113" s="214" t="s">
        <v>100</v>
      </c>
      <c r="AT113" s="214" t="s">
        <v>111</v>
      </c>
      <c r="AU113" s="214" t="s">
        <v>112</v>
      </c>
      <c r="AV113" s="214" t="s">
        <v>101</v>
      </c>
    </row>
    <row r="114" spans="1:7" ht="14" thickBot="1">
      <c r="A114" s="218"/>
      <c r="B114" s="412"/>
      <c r="C114" s="220"/>
      <c r="D114" s="221"/>
      <c r="E114" s="413"/>
      <c r="F114" s="414"/>
      <c r="G114" s="415"/>
    </row>
    <row r="115" spans="1:7" ht="19.5" customHeight="1" thickBot="1">
      <c r="A115" s="225"/>
      <c r="B115" s="226"/>
      <c r="C115" s="227" t="s">
        <v>113</v>
      </c>
      <c r="D115" s="226"/>
      <c r="E115" s="416"/>
      <c r="F115" s="417"/>
      <c r="G115" s="230">
        <f>SUBTOTAL(9,G38:G114)</f>
        <v>0</v>
      </c>
    </row>
    <row r="116" spans="1:7" ht="13" thickBot="1">
      <c r="A116" s="179"/>
      <c r="B116" s="180"/>
      <c r="C116" s="180"/>
      <c r="D116" s="180"/>
      <c r="E116" s="180"/>
      <c r="F116" s="180"/>
      <c r="G116" s="396"/>
    </row>
    <row r="117" spans="1:20" s="80" customFormat="1" ht="17.25" customHeight="1" thickBot="1">
      <c r="A117" s="182" t="s">
        <v>100</v>
      </c>
      <c r="B117" s="183"/>
      <c r="C117" s="184" t="s">
        <v>1185</v>
      </c>
      <c r="D117" s="185"/>
      <c r="E117" s="186"/>
      <c r="F117" s="187"/>
      <c r="G117" s="188"/>
      <c r="H117" s="77"/>
      <c r="I117" s="77"/>
      <c r="J117" s="77"/>
      <c r="K117" s="77"/>
      <c r="L117" s="77"/>
      <c r="M117" s="77"/>
      <c r="N117" s="78"/>
      <c r="O117" s="79"/>
      <c r="P117" s="79"/>
      <c r="Q117" s="79"/>
      <c r="R117" s="79"/>
      <c r="S117" s="79"/>
      <c r="T117" s="79"/>
    </row>
    <row r="118" spans="1:20" s="80" customFormat="1" ht="12.75">
      <c r="A118" s="189"/>
      <c r="B118" s="231"/>
      <c r="C118" s="232"/>
      <c r="D118" s="233"/>
      <c r="E118" s="234"/>
      <c r="F118" s="235"/>
      <c r="G118" s="236"/>
      <c r="H118" s="77"/>
      <c r="I118" s="77"/>
      <c r="J118" s="77"/>
      <c r="K118" s="77"/>
      <c r="L118" s="77"/>
      <c r="M118" s="77"/>
      <c r="N118" s="78"/>
      <c r="O118" s="79"/>
      <c r="P118" s="79"/>
      <c r="Q118" s="79"/>
      <c r="R118" s="79"/>
      <c r="S118" s="79"/>
      <c r="T118" s="79"/>
    </row>
    <row r="119" spans="1:20" s="204" customFormat="1" ht="24" customHeight="1">
      <c r="A119" s="268" t="s">
        <v>115</v>
      </c>
      <c r="B119" s="197" t="s">
        <v>1404</v>
      </c>
      <c r="C119" s="136" t="s">
        <v>1405</v>
      </c>
      <c r="D119" s="198" t="s">
        <v>52</v>
      </c>
      <c r="E119" s="199">
        <f>SUM(D120)</f>
        <v>12.23</v>
      </c>
      <c r="F119" s="199"/>
      <c r="G119" s="240">
        <f>$E119*F119</f>
        <v>0</v>
      </c>
      <c r="H119" s="201">
        <v>2.16</v>
      </c>
      <c r="I119" s="242">
        <f>E119*H119</f>
        <v>26.416800000000002</v>
      </c>
      <c r="J119" s="243">
        <v>0</v>
      </c>
      <c r="K119" s="241">
        <f>E119*J119</f>
        <v>0</v>
      </c>
      <c r="L119" s="85"/>
      <c r="M119" s="85"/>
      <c r="N119" s="202"/>
      <c r="O119" s="203"/>
      <c r="P119" s="203"/>
      <c r="Q119" s="203"/>
      <c r="R119" s="203"/>
      <c r="S119" s="203"/>
      <c r="T119" s="203"/>
    </row>
    <row r="120" spans="1:20" s="214" customFormat="1" ht="15" customHeight="1">
      <c r="A120" s="196"/>
      <c r="B120" s="205"/>
      <c r="C120" s="206" t="s">
        <v>1577</v>
      </c>
      <c r="D120" s="207">
        <f>(7.5+5.6+3.4+1.2+2.9+33.6+68.1)*0.1</f>
        <v>12.23</v>
      </c>
      <c r="E120" s="208"/>
      <c r="F120" s="208"/>
      <c r="G120" s="209"/>
      <c r="H120" s="210"/>
      <c r="I120" s="210"/>
      <c r="J120" s="211"/>
      <c r="K120" s="85"/>
      <c r="L120" s="211"/>
      <c r="M120" s="211"/>
      <c r="N120" s="212"/>
      <c r="O120" s="213"/>
      <c r="P120" s="213"/>
      <c r="Q120" s="213"/>
      <c r="R120" s="213"/>
      <c r="S120" s="213"/>
      <c r="T120" s="213"/>
    </row>
    <row r="121" spans="1:20" s="204" customFormat="1" ht="24" customHeight="1">
      <c r="A121" s="268" t="s">
        <v>117</v>
      </c>
      <c r="B121" s="197" t="s">
        <v>1406</v>
      </c>
      <c r="C121" s="136" t="s">
        <v>1407</v>
      </c>
      <c r="D121" s="198" t="s">
        <v>46</v>
      </c>
      <c r="E121" s="199">
        <f>SUM(D122)</f>
        <v>134.6</v>
      </c>
      <c r="F121" s="199"/>
      <c r="G121" s="240">
        <f>$E121*F121</f>
        <v>0</v>
      </c>
      <c r="H121" s="201">
        <v>0.0001</v>
      </c>
      <c r="I121" s="242">
        <f>E121*H121</f>
        <v>0.01346</v>
      </c>
      <c r="J121" s="243">
        <v>0</v>
      </c>
      <c r="K121" s="241">
        <f>E121*J121</f>
        <v>0</v>
      </c>
      <c r="L121" s="85"/>
      <c r="M121" s="85"/>
      <c r="N121" s="202"/>
      <c r="O121" s="203"/>
      <c r="P121" s="203"/>
      <c r="Q121" s="203"/>
      <c r="R121" s="203"/>
      <c r="S121" s="203"/>
      <c r="T121" s="203"/>
    </row>
    <row r="122" spans="1:20" s="214" customFormat="1" ht="15" customHeight="1">
      <c r="A122" s="196"/>
      <c r="B122" s="205"/>
      <c r="C122" s="206" t="s">
        <v>1578</v>
      </c>
      <c r="D122" s="207">
        <f>(7.5+5.6+3.4+1.2+2.9+33.6+68.1)*1.1+0.07</f>
        <v>134.6</v>
      </c>
      <c r="E122" s="208"/>
      <c r="F122" s="208"/>
      <c r="G122" s="209"/>
      <c r="H122" s="210"/>
      <c r="I122" s="210"/>
      <c r="J122" s="211"/>
      <c r="K122" s="85"/>
      <c r="L122" s="211"/>
      <c r="M122" s="211"/>
      <c r="N122" s="212"/>
      <c r="O122" s="213"/>
      <c r="P122" s="213"/>
      <c r="Q122" s="213"/>
      <c r="R122" s="213"/>
      <c r="S122" s="213"/>
      <c r="T122" s="213"/>
    </row>
    <row r="123" spans="1:20" s="204" customFormat="1" ht="24" customHeight="1">
      <c r="A123" s="268" t="s">
        <v>119</v>
      </c>
      <c r="B123" s="197" t="s">
        <v>1408</v>
      </c>
      <c r="C123" s="136" t="s">
        <v>1409</v>
      </c>
      <c r="D123" s="198" t="s">
        <v>46</v>
      </c>
      <c r="E123" s="199">
        <f>SUM(D124)</f>
        <v>140.64499999999998</v>
      </c>
      <c r="F123" s="199"/>
      <c r="G123" s="240">
        <f>$E123*F123</f>
        <v>0</v>
      </c>
      <c r="H123" s="201">
        <v>0.00029625</v>
      </c>
      <c r="I123" s="242">
        <f>E123*H123</f>
        <v>0.04166608125</v>
      </c>
      <c r="J123" s="243">
        <v>0</v>
      </c>
      <c r="K123" s="241">
        <f>E123*J123</f>
        <v>0</v>
      </c>
      <c r="L123" s="85"/>
      <c r="M123" s="85"/>
      <c r="N123" s="202"/>
      <c r="O123" s="203"/>
      <c r="P123" s="203"/>
      <c r="Q123" s="203"/>
      <c r="R123" s="203"/>
      <c r="S123" s="203"/>
      <c r="T123" s="203"/>
    </row>
    <row r="124" spans="1:20" s="214" customFormat="1" ht="15" customHeight="1">
      <c r="A124" s="196"/>
      <c r="B124" s="205"/>
      <c r="C124" s="206" t="s">
        <v>1579</v>
      </c>
      <c r="D124" s="207">
        <f>122.3*1.15</f>
        <v>140.64499999999998</v>
      </c>
      <c r="E124" s="208"/>
      <c r="F124" s="208"/>
      <c r="G124" s="209"/>
      <c r="H124" s="210"/>
      <c r="I124" s="210"/>
      <c r="J124" s="211"/>
      <c r="K124" s="85"/>
      <c r="L124" s="211"/>
      <c r="M124" s="211"/>
      <c r="N124" s="212"/>
      <c r="O124" s="213"/>
      <c r="P124" s="213"/>
      <c r="Q124" s="213"/>
      <c r="R124" s="213"/>
      <c r="S124" s="213"/>
      <c r="T124" s="213"/>
    </row>
    <row r="125" spans="1:20" s="204" customFormat="1" ht="30" customHeight="1">
      <c r="A125" s="268" t="s">
        <v>295</v>
      </c>
      <c r="B125" s="197" t="s">
        <v>1410</v>
      </c>
      <c r="C125" s="136" t="s">
        <v>1434</v>
      </c>
      <c r="D125" s="198" t="s">
        <v>52</v>
      </c>
      <c r="E125" s="199">
        <f>SUM(D126)</f>
        <v>12.23</v>
      </c>
      <c r="F125" s="199"/>
      <c r="G125" s="240">
        <f>$E125*F125</f>
        <v>0</v>
      </c>
      <c r="H125" s="201">
        <v>2.45329</v>
      </c>
      <c r="I125" s="242">
        <f>E125*H125</f>
        <v>30.0037367</v>
      </c>
      <c r="J125" s="243">
        <v>0</v>
      </c>
      <c r="K125" s="241">
        <f>E125*J125</f>
        <v>0</v>
      </c>
      <c r="L125" s="85"/>
      <c r="M125" s="85"/>
      <c r="N125" s="202"/>
      <c r="O125" s="203"/>
      <c r="P125" s="203"/>
      <c r="Q125" s="203"/>
      <c r="R125" s="203"/>
      <c r="S125" s="203"/>
      <c r="T125" s="203"/>
    </row>
    <row r="126" spans="1:20" s="214" customFormat="1" ht="15" customHeight="1">
      <c r="A126" s="196"/>
      <c r="B126" s="205"/>
      <c r="C126" s="206" t="s">
        <v>1577</v>
      </c>
      <c r="D126" s="207">
        <f>(7.5+5.6+3.4+1.2+2.9+33.6+68.1)*0.1</f>
        <v>12.23</v>
      </c>
      <c r="E126" s="208"/>
      <c r="F126" s="208"/>
      <c r="G126" s="209"/>
      <c r="H126" s="210"/>
      <c r="I126" s="210"/>
      <c r="J126" s="211"/>
      <c r="K126" s="85"/>
      <c r="L126" s="211"/>
      <c r="M126" s="211"/>
      <c r="N126" s="212"/>
      <c r="O126" s="213"/>
      <c r="P126" s="213"/>
      <c r="Q126" s="213"/>
      <c r="R126" s="213"/>
      <c r="S126" s="213"/>
      <c r="T126" s="213"/>
    </row>
    <row r="127" spans="1:20" s="204" customFormat="1" ht="24" customHeight="1">
      <c r="A127" s="268" t="s">
        <v>299</v>
      </c>
      <c r="B127" s="197" t="s">
        <v>1183</v>
      </c>
      <c r="C127" s="136" t="s">
        <v>1184</v>
      </c>
      <c r="D127" s="198" t="s">
        <v>73</v>
      </c>
      <c r="E127" s="199">
        <f>SUM(D128)</f>
        <v>0.7602167999999998</v>
      </c>
      <c r="F127" s="199"/>
      <c r="G127" s="240">
        <f>$E127*F127</f>
        <v>0</v>
      </c>
      <c r="H127" s="201">
        <v>1.06277</v>
      </c>
      <c r="I127" s="242">
        <f>E127*H127</f>
        <v>0.8079356085359998</v>
      </c>
      <c r="J127" s="243">
        <v>0</v>
      </c>
      <c r="K127" s="241">
        <f>E127*J127</f>
        <v>0</v>
      </c>
      <c r="L127" s="85"/>
      <c r="M127" s="85"/>
      <c r="N127" s="202"/>
      <c r="O127" s="203"/>
      <c r="P127" s="203"/>
      <c r="Q127" s="203"/>
      <c r="R127" s="203"/>
      <c r="S127" s="203"/>
      <c r="T127" s="203"/>
    </row>
    <row r="128" spans="1:20" s="214" customFormat="1" ht="15" customHeight="1">
      <c r="A128" s="196"/>
      <c r="B128" s="205"/>
      <c r="C128" s="206" t="s">
        <v>1580</v>
      </c>
      <c r="D128" s="207">
        <f>122.3*5.18*1.2*0.001</f>
        <v>0.7602167999999998</v>
      </c>
      <c r="E128" s="208"/>
      <c r="F128" s="208"/>
      <c r="G128" s="209"/>
      <c r="H128" s="210"/>
      <c r="I128" s="210"/>
      <c r="J128" s="211"/>
      <c r="K128" s="85"/>
      <c r="L128" s="211"/>
      <c r="M128" s="211"/>
      <c r="N128" s="212"/>
      <c r="O128" s="213"/>
      <c r="P128" s="213"/>
      <c r="Q128" s="213"/>
      <c r="R128" s="213"/>
      <c r="S128" s="213"/>
      <c r="T128" s="213"/>
    </row>
    <row r="129" spans="1:20" s="80" customFormat="1" ht="14" thickBot="1">
      <c r="A129" s="218"/>
      <c r="B129" s="219"/>
      <c r="C129" s="220"/>
      <c r="D129" s="221"/>
      <c r="E129" s="222"/>
      <c r="F129" s="223"/>
      <c r="G129" s="224"/>
      <c r="H129" s="77"/>
      <c r="I129" s="77"/>
      <c r="J129" s="77"/>
      <c r="K129" s="77"/>
      <c r="L129" s="77"/>
      <c r="M129" s="77"/>
      <c r="N129" s="78"/>
      <c r="O129" s="79"/>
      <c r="P129" s="79"/>
      <c r="Q129" s="79"/>
      <c r="R129" s="79"/>
      <c r="S129" s="79"/>
      <c r="T129" s="79"/>
    </row>
    <row r="130" spans="1:20" s="80" customFormat="1" ht="13" thickBot="1">
      <c r="A130" s="225"/>
      <c r="B130" s="226"/>
      <c r="C130" s="227" t="s">
        <v>113</v>
      </c>
      <c r="D130" s="226"/>
      <c r="E130" s="228"/>
      <c r="F130" s="229"/>
      <c r="G130" s="230">
        <f>SUBTOTAL(9,G118:G129)</f>
        <v>0</v>
      </c>
      <c r="H130" s="77"/>
      <c r="I130" s="77"/>
      <c r="J130" s="77"/>
      <c r="K130" s="77"/>
      <c r="L130" s="77"/>
      <c r="M130" s="77"/>
      <c r="N130" s="78"/>
      <c r="O130" s="79"/>
      <c r="P130" s="79"/>
      <c r="Q130" s="79"/>
      <c r="R130" s="79"/>
      <c r="S130" s="79"/>
      <c r="T130" s="79"/>
    </row>
    <row r="131" spans="1:20" s="80" customFormat="1" ht="13" thickBot="1">
      <c r="A131" s="179"/>
      <c r="B131" s="180"/>
      <c r="C131" s="180"/>
      <c r="D131" s="180"/>
      <c r="E131" s="180"/>
      <c r="F131" s="180"/>
      <c r="G131" s="181"/>
      <c r="H131" s="77"/>
      <c r="I131" s="77"/>
      <c r="J131" s="77"/>
      <c r="K131" s="77"/>
      <c r="L131" s="77"/>
      <c r="M131" s="77"/>
      <c r="N131" s="78"/>
      <c r="O131" s="79"/>
      <c r="P131" s="79"/>
      <c r="Q131" s="79"/>
      <c r="R131" s="79"/>
      <c r="S131" s="79"/>
      <c r="T131" s="79"/>
    </row>
    <row r="132" spans="1:7" ht="17.25" customHeight="1" thickBot="1">
      <c r="A132" s="182" t="s">
        <v>121</v>
      </c>
      <c r="B132" s="183"/>
      <c r="C132" s="184" t="s">
        <v>260</v>
      </c>
      <c r="D132" s="397"/>
      <c r="E132" s="398"/>
      <c r="F132" s="187"/>
      <c r="G132" s="399"/>
    </row>
    <row r="133" spans="1:7" ht="12.75">
      <c r="A133" s="189"/>
      <c r="B133" s="400"/>
      <c r="C133" s="232"/>
      <c r="D133" s="233"/>
      <c r="E133" s="401"/>
      <c r="F133" s="402"/>
      <c r="G133" s="403"/>
    </row>
    <row r="134" spans="1:20" s="204" customFormat="1" ht="29.25" customHeight="1">
      <c r="A134" s="196" t="s">
        <v>123</v>
      </c>
      <c r="B134" s="197">
        <v>319202214</v>
      </c>
      <c r="C134" s="136" t="s">
        <v>1403</v>
      </c>
      <c r="D134" s="198" t="s">
        <v>116</v>
      </c>
      <c r="E134" s="199">
        <f>SUM(D135)</f>
        <v>60.5</v>
      </c>
      <c r="F134" s="199"/>
      <c r="G134" s="200">
        <f>E134*F134</f>
        <v>0</v>
      </c>
      <c r="H134" s="201">
        <v>0.00122</v>
      </c>
      <c r="I134" s="201">
        <f>E134*H134</f>
        <v>0.07381</v>
      </c>
      <c r="J134" s="85">
        <v>4E-05</v>
      </c>
      <c r="K134" s="85">
        <f>E134*J134</f>
        <v>0.0024200000000000003</v>
      </c>
      <c r="L134" s="85"/>
      <c r="M134" s="85"/>
      <c r="N134" s="202"/>
      <c r="O134" s="203"/>
      <c r="P134" s="203"/>
      <c r="Q134" s="203"/>
      <c r="R134" s="203"/>
      <c r="S134" s="203"/>
      <c r="T134" s="203"/>
    </row>
    <row r="135" spans="1:12" s="251" customFormat="1" ht="17.25" customHeight="1">
      <c r="A135" s="196"/>
      <c r="B135" s="205"/>
      <c r="C135" s="245" t="s">
        <v>2179</v>
      </c>
      <c r="D135" s="246">
        <f>32.5+8.8+1.5+15.2+2.5</f>
        <v>60.5</v>
      </c>
      <c r="E135" s="247"/>
      <c r="F135" s="247"/>
      <c r="G135" s="248"/>
      <c r="H135" s="249"/>
      <c r="I135" s="250"/>
      <c r="J135" s="250"/>
      <c r="K135" s="250"/>
      <c r="L135" s="250"/>
    </row>
    <row r="136" spans="1:12" s="244" customFormat="1" ht="21.75" customHeight="1">
      <c r="A136" s="715" t="s">
        <v>124</v>
      </c>
      <c r="B136" s="237">
        <v>342272225</v>
      </c>
      <c r="C136" s="238" t="s">
        <v>118</v>
      </c>
      <c r="D136" s="197" t="s">
        <v>46</v>
      </c>
      <c r="E136" s="239">
        <f>SUM(D137)</f>
        <v>14.099</v>
      </c>
      <c r="F136" s="239"/>
      <c r="G136" s="240">
        <f>$E136*F136</f>
        <v>0</v>
      </c>
      <c r="H136" s="241">
        <v>0.05897</v>
      </c>
      <c r="I136" s="242">
        <f>E136*H136</f>
        <v>0.83141803</v>
      </c>
      <c r="J136" s="243">
        <v>0</v>
      </c>
      <c r="K136" s="241">
        <f>E136*J136</f>
        <v>0</v>
      </c>
      <c r="L136" s="241"/>
    </row>
    <row r="137" spans="1:12" s="251" customFormat="1" ht="17.25" customHeight="1">
      <c r="A137" s="196"/>
      <c r="B137" s="205"/>
      <c r="C137" s="245" t="s">
        <v>1541</v>
      </c>
      <c r="D137" s="246">
        <f>(2.75+1.52+1.82)*2.7-0.6*1.97*2+0.02</f>
        <v>14.099</v>
      </c>
      <c r="E137" s="247"/>
      <c r="F137" s="247"/>
      <c r="G137" s="248"/>
      <c r="H137" s="249"/>
      <c r="I137" s="250"/>
      <c r="J137" s="250"/>
      <c r="K137" s="250"/>
      <c r="L137" s="250"/>
    </row>
    <row r="138" spans="1:12" s="244" customFormat="1" ht="31.5" customHeight="1">
      <c r="A138" s="715" t="s">
        <v>125</v>
      </c>
      <c r="B138" s="237">
        <v>317142420</v>
      </c>
      <c r="C138" s="238" t="s">
        <v>1772</v>
      </c>
      <c r="D138" s="197" t="s">
        <v>158</v>
      </c>
      <c r="E138" s="239">
        <f>SUM(D139)</f>
        <v>2</v>
      </c>
      <c r="F138" s="239"/>
      <c r="G138" s="240">
        <f>$E138*F138</f>
        <v>0</v>
      </c>
      <c r="H138" s="241">
        <v>0.02228</v>
      </c>
      <c r="I138" s="242">
        <f>E138*H138</f>
        <v>0.04456</v>
      </c>
      <c r="J138" s="243">
        <v>0</v>
      </c>
      <c r="K138" s="241">
        <f>E138*J138</f>
        <v>0</v>
      </c>
      <c r="L138" s="241"/>
    </row>
    <row r="139" spans="1:12" s="251" customFormat="1" ht="17.25" customHeight="1">
      <c r="A139" s="196"/>
      <c r="B139" s="725"/>
      <c r="C139" s="726" t="s">
        <v>1540</v>
      </c>
      <c r="D139" s="727">
        <f>1+1</f>
        <v>2</v>
      </c>
      <c r="E139" s="728"/>
      <c r="F139" s="728"/>
      <c r="G139" s="729"/>
      <c r="H139" s="249"/>
      <c r="I139" s="250"/>
      <c r="J139" s="250"/>
      <c r="K139" s="250"/>
      <c r="L139" s="250"/>
    </row>
    <row r="140" spans="1:12" s="244" customFormat="1" ht="21.75" customHeight="1">
      <c r="A140" s="715" t="s">
        <v>126</v>
      </c>
      <c r="B140" s="237">
        <v>310279842</v>
      </c>
      <c r="C140" s="238" t="s">
        <v>120</v>
      </c>
      <c r="D140" s="197" t="s">
        <v>52</v>
      </c>
      <c r="E140" s="239">
        <f>SUM(D141)</f>
        <v>1.851</v>
      </c>
      <c r="F140" s="239"/>
      <c r="G140" s="240">
        <f>$E140*F140</f>
        <v>0</v>
      </c>
      <c r="H140" s="241">
        <v>1.32715</v>
      </c>
      <c r="I140" s="242">
        <f>E140*H140</f>
        <v>2.45655465</v>
      </c>
      <c r="J140" s="243">
        <v>0</v>
      </c>
      <c r="K140" s="241">
        <f>E140*J140</f>
        <v>0</v>
      </c>
      <c r="L140" s="241"/>
    </row>
    <row r="141" spans="1:12" s="251" customFormat="1" ht="17.25" customHeight="1">
      <c r="A141" s="196"/>
      <c r="B141" s="205"/>
      <c r="C141" s="245" t="s">
        <v>1547</v>
      </c>
      <c r="D141" s="246">
        <f>1.5*1.2*0.3+0.9*2*0.3+1.285*2*0.3</f>
        <v>1.851</v>
      </c>
      <c r="E141" s="247"/>
      <c r="F141" s="247"/>
      <c r="G141" s="248"/>
      <c r="H141" s="249"/>
      <c r="I141" s="250"/>
      <c r="J141" s="250"/>
      <c r="K141" s="250"/>
      <c r="L141" s="250"/>
    </row>
    <row r="142" spans="1:12" s="244" customFormat="1" ht="21.75" customHeight="1">
      <c r="A142" s="715" t="s">
        <v>127</v>
      </c>
      <c r="B142" s="237" t="s">
        <v>1137</v>
      </c>
      <c r="C142" s="238" t="s">
        <v>1138</v>
      </c>
      <c r="D142" s="197" t="s">
        <v>73</v>
      </c>
      <c r="E142" s="239">
        <f>SUM(D143:D144)</f>
        <v>0.1084914</v>
      </c>
      <c r="F142" s="239"/>
      <c r="G142" s="240">
        <f>$E142*F142</f>
        <v>0</v>
      </c>
      <c r="H142" s="241">
        <v>1.09</v>
      </c>
      <c r="I142" s="242">
        <f>E142*H142</f>
        <v>0.11825562600000002</v>
      </c>
      <c r="J142" s="243">
        <v>0</v>
      </c>
      <c r="K142" s="241">
        <f>E142*J142</f>
        <v>0</v>
      </c>
      <c r="L142" s="241"/>
    </row>
    <row r="143" spans="1:12" s="251" customFormat="1" ht="17.25" customHeight="1">
      <c r="A143" s="196"/>
      <c r="B143" s="706" t="s">
        <v>1546</v>
      </c>
      <c r="C143" s="716" t="s">
        <v>1551</v>
      </c>
      <c r="D143" s="717">
        <f>1.3*11.1*1.08*2*0.001+1.4*11.1*1.08*3*0.001</f>
        <v>0.0815184</v>
      </c>
      <c r="E143" s="718"/>
      <c r="F143" s="718"/>
      <c r="G143" s="719"/>
      <c r="H143" s="249"/>
      <c r="I143" s="250"/>
      <c r="J143" s="250"/>
      <c r="K143" s="250"/>
      <c r="L143" s="250"/>
    </row>
    <row r="144" spans="1:12" s="251" customFormat="1" ht="17.25" customHeight="1">
      <c r="A144" s="750"/>
      <c r="B144" s="706" t="s">
        <v>1546</v>
      </c>
      <c r="C144" s="726" t="s">
        <v>1558</v>
      </c>
      <c r="D144" s="727">
        <f>0.75*11.1*1.08*3*0.001</f>
        <v>0.026973</v>
      </c>
      <c r="E144" s="728"/>
      <c r="F144" s="728"/>
      <c r="G144" s="729"/>
      <c r="H144" s="249"/>
      <c r="I144" s="250"/>
      <c r="J144" s="250"/>
      <c r="K144" s="250"/>
      <c r="L144" s="250"/>
    </row>
    <row r="145" spans="1:12" s="244" customFormat="1" ht="21.75" customHeight="1">
      <c r="A145" s="715" t="s">
        <v>128</v>
      </c>
      <c r="B145" s="237">
        <v>317944323</v>
      </c>
      <c r="C145" s="238" t="s">
        <v>1549</v>
      </c>
      <c r="D145" s="197" t="s">
        <v>73</v>
      </c>
      <c r="E145" s="239">
        <f>SUM(D146:D148)</f>
        <v>0.4866804</v>
      </c>
      <c r="F145" s="239"/>
      <c r="G145" s="240">
        <f>$E145*F145</f>
        <v>0</v>
      </c>
      <c r="H145" s="241">
        <v>1.09</v>
      </c>
      <c r="I145" s="242">
        <f>E145*H145</f>
        <v>0.5304816360000001</v>
      </c>
      <c r="J145" s="243">
        <v>0</v>
      </c>
      <c r="K145" s="241">
        <f>E145*J145</f>
        <v>0</v>
      </c>
      <c r="L145" s="241"/>
    </row>
    <row r="146" spans="1:12" s="251" customFormat="1" ht="17.25" customHeight="1">
      <c r="A146" s="196"/>
      <c r="B146" s="706" t="s">
        <v>1548</v>
      </c>
      <c r="C146" s="716" t="s">
        <v>1550</v>
      </c>
      <c r="D146" s="717">
        <f>1.9*14.4*1.08*1*0.001</f>
        <v>0.0295488</v>
      </c>
      <c r="E146" s="718"/>
      <c r="F146" s="718"/>
      <c r="G146" s="719"/>
      <c r="H146" s="249"/>
      <c r="I146" s="250"/>
      <c r="J146" s="250"/>
      <c r="K146" s="250"/>
      <c r="L146" s="250"/>
    </row>
    <row r="147" spans="1:12" s="251" customFormat="1" ht="17.25" customHeight="1">
      <c r="A147" s="750"/>
      <c r="B147" s="706" t="s">
        <v>1560</v>
      </c>
      <c r="C147" s="726" t="s">
        <v>1561</v>
      </c>
      <c r="D147" s="727">
        <f>2.7*17.9*1.08*4*0.001</f>
        <v>0.20878560000000002</v>
      </c>
      <c r="E147" s="728"/>
      <c r="F147" s="728"/>
      <c r="G147" s="729"/>
      <c r="H147" s="249"/>
      <c r="I147" s="250"/>
      <c r="J147" s="250"/>
      <c r="K147" s="250"/>
      <c r="L147" s="250"/>
    </row>
    <row r="148" spans="1:12" s="251" customFormat="1" ht="17.25" customHeight="1">
      <c r="A148" s="196"/>
      <c r="B148" s="706" t="s">
        <v>1555</v>
      </c>
      <c r="C148" s="716" t="s">
        <v>1556</v>
      </c>
      <c r="D148" s="717">
        <f>3.5*21.9*1.08*3*0.001</f>
        <v>0.248346</v>
      </c>
      <c r="E148" s="718"/>
      <c r="F148" s="718"/>
      <c r="G148" s="719"/>
      <c r="H148" s="249"/>
      <c r="I148" s="250"/>
      <c r="J148" s="250"/>
      <c r="K148" s="250"/>
      <c r="L148" s="250"/>
    </row>
    <row r="149" spans="1:12" s="244" customFormat="1" ht="21.75" customHeight="1">
      <c r="A149" s="715" t="s">
        <v>129</v>
      </c>
      <c r="B149" s="237" t="s">
        <v>1135</v>
      </c>
      <c r="C149" s="238" t="s">
        <v>1136</v>
      </c>
      <c r="D149" s="197" t="s">
        <v>52</v>
      </c>
      <c r="E149" s="239">
        <f>SUM(D150:D153)</f>
        <v>1.16675</v>
      </c>
      <c r="F149" s="239"/>
      <c r="G149" s="240">
        <f>$E149*F149</f>
        <v>0</v>
      </c>
      <c r="H149" s="241">
        <v>1.94302</v>
      </c>
      <c r="I149" s="242">
        <f>E149*H149</f>
        <v>2.2670185849999998</v>
      </c>
      <c r="J149" s="243">
        <v>0</v>
      </c>
      <c r="K149" s="241">
        <f>E149*J149</f>
        <v>0</v>
      </c>
      <c r="L149" s="241"/>
    </row>
    <row r="150" spans="1:12" s="251" customFormat="1" ht="17.25" customHeight="1">
      <c r="A150" s="715"/>
      <c r="B150" s="706" t="s">
        <v>1546</v>
      </c>
      <c r="C150" s="716" t="s">
        <v>1563</v>
      </c>
      <c r="D150" s="717">
        <f>1.3*0.3*0.15+1.5*0.15*0.5</f>
        <v>0.17099999999999999</v>
      </c>
      <c r="E150" s="718"/>
      <c r="F150" s="718"/>
      <c r="G150" s="719"/>
      <c r="H150" s="249"/>
      <c r="I150" s="250"/>
      <c r="J150" s="250"/>
      <c r="K150" s="250"/>
      <c r="L150" s="250"/>
    </row>
    <row r="151" spans="1:12" s="251" customFormat="1" ht="17.25" customHeight="1">
      <c r="A151" s="715"/>
      <c r="B151" s="706" t="s">
        <v>1548</v>
      </c>
      <c r="C151" s="716" t="s">
        <v>1562</v>
      </c>
      <c r="D151" s="717">
        <f>1.9*0.2*0.2</f>
        <v>0.07600000000000001</v>
      </c>
      <c r="E151" s="718"/>
      <c r="F151" s="718"/>
      <c r="G151" s="719"/>
      <c r="H151" s="249"/>
      <c r="I151" s="250"/>
      <c r="J151" s="250"/>
      <c r="K151" s="250"/>
      <c r="L151" s="250"/>
    </row>
    <row r="152" spans="1:12" s="251" customFormat="1" ht="17.25" customHeight="1">
      <c r="A152" s="733"/>
      <c r="B152" s="706" t="s">
        <v>1560</v>
      </c>
      <c r="C152" s="726" t="s">
        <v>1564</v>
      </c>
      <c r="D152" s="727">
        <f>2.7*0.65*0.2</f>
        <v>0.35100000000000003</v>
      </c>
      <c r="E152" s="767"/>
      <c r="F152" s="767"/>
      <c r="G152" s="768"/>
      <c r="H152" s="249"/>
      <c r="I152" s="250"/>
      <c r="J152" s="250"/>
      <c r="K152" s="250"/>
      <c r="L152" s="250"/>
    </row>
    <row r="153" spans="1:12" s="251" customFormat="1" ht="17.25" customHeight="1">
      <c r="A153" s="733"/>
      <c r="B153" s="706" t="s">
        <v>1555</v>
      </c>
      <c r="C153" s="726" t="s">
        <v>1557</v>
      </c>
      <c r="D153" s="727">
        <f>3.5*0.65*0.25</f>
        <v>0.56875</v>
      </c>
      <c r="E153" s="767"/>
      <c r="F153" s="767"/>
      <c r="G153" s="768"/>
      <c r="H153" s="249"/>
      <c r="I153" s="250"/>
      <c r="J153" s="250"/>
      <c r="K153" s="250"/>
      <c r="L153" s="250"/>
    </row>
    <row r="154" spans="1:12" s="244" customFormat="1" ht="14" thickBot="1">
      <c r="A154" s="286"/>
      <c r="B154" s="412"/>
      <c r="C154" s="220"/>
      <c r="D154" s="221"/>
      <c r="E154" s="414"/>
      <c r="F154" s="414"/>
      <c r="G154" s="418"/>
      <c r="H154" s="241"/>
      <c r="I154" s="241"/>
      <c r="J154" s="241"/>
      <c r="K154" s="241"/>
      <c r="L154" s="241"/>
    </row>
    <row r="155" spans="1:7" ht="13" thickBot="1">
      <c r="A155" s="225"/>
      <c r="B155" s="226"/>
      <c r="C155" s="227" t="s">
        <v>113</v>
      </c>
      <c r="D155" s="226"/>
      <c r="E155" s="416"/>
      <c r="F155" s="417"/>
      <c r="G155" s="230">
        <f>SUBTOTAL(9,G133:G154)</f>
        <v>0</v>
      </c>
    </row>
    <row r="156" spans="1:7" ht="13" thickBot="1">
      <c r="A156" s="179"/>
      <c r="B156" s="180"/>
      <c r="C156" s="180"/>
      <c r="D156" s="180"/>
      <c r="E156" s="180"/>
      <c r="F156" s="180"/>
      <c r="G156" s="396"/>
    </row>
    <row r="157" spans="1:20" s="80" customFormat="1" ht="17.25" customHeight="1" thickBot="1">
      <c r="A157" s="182" t="s">
        <v>98</v>
      </c>
      <c r="B157" s="183"/>
      <c r="C157" s="184" t="s">
        <v>1139</v>
      </c>
      <c r="D157" s="185"/>
      <c r="E157" s="186"/>
      <c r="F157" s="187"/>
      <c r="G157" s="188"/>
      <c r="H157" s="77"/>
      <c r="I157" s="77"/>
      <c r="J157" s="77"/>
      <c r="K157" s="77"/>
      <c r="L157" s="77"/>
      <c r="M157" s="77"/>
      <c r="N157" s="78"/>
      <c r="O157" s="79"/>
      <c r="P157" s="79"/>
      <c r="Q157" s="79"/>
      <c r="R157" s="79"/>
      <c r="S157" s="79"/>
      <c r="T157" s="79"/>
    </row>
    <row r="158" spans="1:20" s="80" customFormat="1" ht="12.75">
      <c r="A158" s="189"/>
      <c r="B158" s="231"/>
      <c r="C158" s="232"/>
      <c r="D158" s="233"/>
      <c r="E158" s="234"/>
      <c r="F158" s="235"/>
      <c r="G158" s="236"/>
      <c r="H158" s="77"/>
      <c r="I158" s="77"/>
      <c r="J158" s="77"/>
      <c r="K158" s="77"/>
      <c r="L158" s="77"/>
      <c r="M158" s="77"/>
      <c r="N158" s="78"/>
      <c r="O158" s="79"/>
      <c r="P158" s="79"/>
      <c r="Q158" s="79"/>
      <c r="R158" s="79"/>
      <c r="S158" s="79"/>
      <c r="T158" s="79"/>
    </row>
    <row r="159" spans="1:20" s="204" customFormat="1" ht="30" customHeight="1">
      <c r="A159" s="268" t="s">
        <v>156</v>
      </c>
      <c r="B159" s="197">
        <v>411141113</v>
      </c>
      <c r="C159" s="136" t="s">
        <v>1455</v>
      </c>
      <c r="D159" s="198" t="s">
        <v>46</v>
      </c>
      <c r="E159" s="199">
        <v>23.8</v>
      </c>
      <c r="F159" s="199"/>
      <c r="G159" s="240">
        <f>$E159*F159</f>
        <v>0</v>
      </c>
      <c r="H159" s="201">
        <v>0.264</v>
      </c>
      <c r="I159" s="242">
        <f>E159*H159</f>
        <v>6.283200000000001</v>
      </c>
      <c r="J159" s="243">
        <v>0</v>
      </c>
      <c r="K159" s="241">
        <f>E159*J159</f>
        <v>0</v>
      </c>
      <c r="L159" s="85"/>
      <c r="M159" s="85"/>
      <c r="N159" s="202"/>
      <c r="O159" s="203"/>
      <c r="P159" s="203"/>
      <c r="Q159" s="203"/>
      <c r="R159" s="203"/>
      <c r="S159" s="203"/>
      <c r="T159" s="203"/>
    </row>
    <row r="160" spans="1:12" s="244" customFormat="1" ht="15.75" customHeight="1">
      <c r="A160" s="455"/>
      <c r="B160" s="674"/>
      <c r="C160" s="675"/>
      <c r="D160" s="672"/>
      <c r="E160" s="676"/>
      <c r="F160" s="676"/>
      <c r="G160" s="677"/>
      <c r="H160" s="241"/>
      <c r="I160" s="242"/>
      <c r="J160" s="243"/>
      <c r="K160" s="241"/>
      <c r="L160" s="241"/>
    </row>
    <row r="161" spans="1:12" s="244" customFormat="1" ht="21.75" customHeight="1">
      <c r="A161" s="268" t="s">
        <v>159</v>
      </c>
      <c r="B161" s="237" t="s">
        <v>1140</v>
      </c>
      <c r="C161" s="238" t="s">
        <v>1141</v>
      </c>
      <c r="D161" s="197" t="s">
        <v>175</v>
      </c>
      <c r="E161" s="239">
        <f>SUM(D162:D164)</f>
        <v>32</v>
      </c>
      <c r="F161" s="239"/>
      <c r="G161" s="240">
        <f>$E161*F161</f>
        <v>0</v>
      </c>
      <c r="H161" s="241">
        <v>0.02278</v>
      </c>
      <c r="I161" s="242">
        <f>E161*H161</f>
        <v>0.72896</v>
      </c>
      <c r="J161" s="243">
        <v>0</v>
      </c>
      <c r="K161" s="241">
        <f>E161*J161</f>
        <v>0</v>
      </c>
      <c r="L161" s="241"/>
    </row>
    <row r="162" spans="1:12" s="251" customFormat="1" ht="17.25" customHeight="1">
      <c r="A162" s="196"/>
      <c r="B162" s="706" t="s">
        <v>1546</v>
      </c>
      <c r="C162" s="716" t="s">
        <v>1559</v>
      </c>
      <c r="D162" s="717">
        <f>4+6+6</f>
        <v>16</v>
      </c>
      <c r="E162" s="718"/>
      <c r="F162" s="718"/>
      <c r="G162" s="719"/>
      <c r="H162" s="249"/>
      <c r="I162" s="250"/>
      <c r="J162" s="250"/>
      <c r="K162" s="250"/>
      <c r="L162" s="250"/>
    </row>
    <row r="163" spans="1:12" s="251" customFormat="1" ht="17.25" customHeight="1">
      <c r="A163" s="196"/>
      <c r="B163" s="706" t="s">
        <v>1548</v>
      </c>
      <c r="C163" s="765">
        <v>2</v>
      </c>
      <c r="D163" s="717">
        <v>2</v>
      </c>
      <c r="E163" s="718"/>
      <c r="F163" s="718"/>
      <c r="G163" s="719"/>
      <c r="H163" s="249"/>
      <c r="I163" s="250"/>
      <c r="J163" s="250"/>
      <c r="K163" s="250"/>
      <c r="L163" s="250"/>
    </row>
    <row r="164" spans="1:12" s="251" customFormat="1" ht="17.25" customHeight="1">
      <c r="A164" s="733"/>
      <c r="B164" s="706" t="s">
        <v>1565</v>
      </c>
      <c r="C164" s="766" t="s">
        <v>1566</v>
      </c>
      <c r="D164" s="727">
        <v>14</v>
      </c>
      <c r="E164" s="767"/>
      <c r="F164" s="767"/>
      <c r="G164" s="768"/>
      <c r="H164" s="249"/>
      <c r="I164" s="250"/>
      <c r="J164" s="250"/>
      <c r="K164" s="250"/>
      <c r="L164" s="250"/>
    </row>
    <row r="165" spans="1:20" s="80" customFormat="1" ht="14" thickBot="1">
      <c r="A165" s="218"/>
      <c r="B165" s="219"/>
      <c r="C165" s="220"/>
      <c r="D165" s="221"/>
      <c r="E165" s="222"/>
      <c r="F165" s="223"/>
      <c r="G165" s="224"/>
      <c r="H165" s="77"/>
      <c r="I165" s="77"/>
      <c r="J165" s="77"/>
      <c r="K165" s="77"/>
      <c r="L165" s="77"/>
      <c r="M165" s="77"/>
      <c r="N165" s="78"/>
      <c r="O165" s="79"/>
      <c r="P165" s="79"/>
      <c r="Q165" s="79"/>
      <c r="R165" s="79"/>
      <c r="S165" s="79"/>
      <c r="T165" s="79"/>
    </row>
    <row r="166" spans="1:20" s="80" customFormat="1" ht="13" thickBot="1">
      <c r="A166" s="225"/>
      <c r="B166" s="226"/>
      <c r="C166" s="227" t="s">
        <v>113</v>
      </c>
      <c r="D166" s="226"/>
      <c r="E166" s="228"/>
      <c r="F166" s="229"/>
      <c r="G166" s="230">
        <f>SUBTOTAL(9,G158:G165)</f>
        <v>0</v>
      </c>
      <c r="H166" s="77"/>
      <c r="I166" s="77"/>
      <c r="J166" s="77"/>
      <c r="K166" s="77"/>
      <c r="L166" s="77"/>
      <c r="M166" s="77"/>
      <c r="N166" s="78"/>
      <c r="O166" s="79"/>
      <c r="P166" s="79"/>
      <c r="Q166" s="79"/>
      <c r="R166" s="79"/>
      <c r="S166" s="79"/>
      <c r="T166" s="79"/>
    </row>
    <row r="167" spans="1:20" s="80" customFormat="1" ht="13" thickBot="1">
      <c r="A167" s="179"/>
      <c r="B167" s="180"/>
      <c r="C167" s="180"/>
      <c r="D167" s="180"/>
      <c r="E167" s="180"/>
      <c r="F167" s="180"/>
      <c r="G167" s="181"/>
      <c r="H167" s="77"/>
      <c r="I167" s="77"/>
      <c r="J167" s="77"/>
      <c r="K167" s="77"/>
      <c r="L167" s="77"/>
      <c r="M167" s="77"/>
      <c r="N167" s="78"/>
      <c r="O167" s="79"/>
      <c r="P167" s="79"/>
      <c r="Q167" s="79"/>
      <c r="R167" s="79"/>
      <c r="S167" s="79"/>
      <c r="T167" s="79"/>
    </row>
    <row r="168" spans="1:7" ht="13" thickBot="1">
      <c r="A168" s="182" t="s">
        <v>166</v>
      </c>
      <c r="B168" s="183"/>
      <c r="C168" s="184" t="s">
        <v>122</v>
      </c>
      <c r="D168" s="397"/>
      <c r="E168" s="398"/>
      <c r="F168" s="187"/>
      <c r="G168" s="399"/>
    </row>
    <row r="169" spans="1:7" ht="12.75">
      <c r="A169" s="189"/>
      <c r="B169" s="400"/>
      <c r="C169" s="232"/>
      <c r="D169" s="233"/>
      <c r="E169" s="401"/>
      <c r="F169" s="402"/>
      <c r="G169" s="403"/>
    </row>
    <row r="170" spans="1:20" s="204" customFormat="1" ht="12.75">
      <c r="A170" s="455"/>
      <c r="B170" s="305"/>
      <c r="C170" s="254" t="s">
        <v>1476</v>
      </c>
      <c r="D170" s="305"/>
      <c r="E170" s="586"/>
      <c r="F170" s="586"/>
      <c r="G170" s="756"/>
      <c r="H170" s="85"/>
      <c r="I170" s="85"/>
      <c r="J170" s="85"/>
      <c r="K170" s="85"/>
      <c r="L170" s="85"/>
      <c r="M170" s="85"/>
      <c r="N170" s="202"/>
      <c r="O170" s="203"/>
      <c r="P170" s="203"/>
      <c r="Q170" s="203"/>
      <c r="R170" s="203"/>
      <c r="S170" s="203"/>
      <c r="T170" s="203"/>
    </row>
    <row r="171" spans="1:20" s="204" customFormat="1" ht="24" customHeight="1">
      <c r="A171" s="268" t="s">
        <v>168</v>
      </c>
      <c r="B171" s="197" t="s">
        <v>1437</v>
      </c>
      <c r="C171" s="136" t="s">
        <v>1436</v>
      </c>
      <c r="D171" s="198" t="s">
        <v>46</v>
      </c>
      <c r="E171" s="199">
        <f>SUM(D172:D173)</f>
        <v>324.39500000000004</v>
      </c>
      <c r="F171" s="199"/>
      <c r="G171" s="200">
        <f>E171*F171</f>
        <v>0</v>
      </c>
      <c r="H171" s="201">
        <v>0</v>
      </c>
      <c r="I171" s="201">
        <f>E171*H171</f>
        <v>0</v>
      </c>
      <c r="J171" s="85">
        <v>0</v>
      </c>
      <c r="K171" s="85">
        <f>E171*J171</f>
        <v>0</v>
      </c>
      <c r="L171" s="85"/>
      <c r="M171" s="85"/>
      <c r="N171" s="202"/>
      <c r="O171" s="203"/>
      <c r="P171" s="203"/>
      <c r="Q171" s="203"/>
      <c r="R171" s="203"/>
      <c r="S171" s="203"/>
      <c r="T171" s="203"/>
    </row>
    <row r="172" spans="1:20" s="596" customFormat="1" ht="24" customHeight="1">
      <c r="A172" s="683"/>
      <c r="B172" s="681" t="s">
        <v>1460</v>
      </c>
      <c r="C172" s="678" t="s">
        <v>1570</v>
      </c>
      <c r="D172" s="685">
        <f>(11.7+1.8+1.6+3.8+3.6+5.8+23.9+37.9)*0.45</f>
        <v>40.545</v>
      </c>
      <c r="E172" s="679"/>
      <c r="F172" s="679"/>
      <c r="G172" s="680"/>
      <c r="H172" s="592"/>
      <c r="I172" s="592"/>
      <c r="J172" s="593"/>
      <c r="K172" s="593"/>
      <c r="L172" s="593"/>
      <c r="M172" s="593"/>
      <c r="N172" s="594"/>
      <c r="O172" s="595"/>
      <c r="P172" s="595"/>
      <c r="Q172" s="595"/>
      <c r="R172" s="595"/>
      <c r="S172" s="595"/>
      <c r="T172" s="595"/>
    </row>
    <row r="173" spans="1:20" s="596" customFormat="1" ht="24" customHeight="1">
      <c r="A173" s="683"/>
      <c r="B173" s="682" t="s">
        <v>1461</v>
      </c>
      <c r="C173" s="678" t="s">
        <v>1571</v>
      </c>
      <c r="D173" s="685">
        <f>(11.7+1.8+1.6+3.8+3.6+5.8+23.9+37.9)*3.15+0.035</f>
        <v>283.85</v>
      </c>
      <c r="E173" s="679"/>
      <c r="F173" s="679"/>
      <c r="G173" s="680"/>
      <c r="H173" s="592"/>
      <c r="I173" s="592"/>
      <c r="J173" s="593"/>
      <c r="K173" s="593"/>
      <c r="L173" s="593"/>
      <c r="M173" s="593"/>
      <c r="N173" s="594"/>
      <c r="O173" s="595"/>
      <c r="P173" s="595"/>
      <c r="Q173" s="595"/>
      <c r="R173" s="595"/>
      <c r="S173" s="595"/>
      <c r="T173" s="595"/>
    </row>
    <row r="174" spans="1:20" s="204" customFormat="1" ht="24" customHeight="1">
      <c r="A174" s="268" t="s">
        <v>268</v>
      </c>
      <c r="B174" s="197" t="s">
        <v>1411</v>
      </c>
      <c r="C174" s="136" t="s">
        <v>1412</v>
      </c>
      <c r="D174" s="198" t="s">
        <v>46</v>
      </c>
      <c r="E174" s="199">
        <f>SUM(D175:D176)</f>
        <v>220.745</v>
      </c>
      <c r="F174" s="199"/>
      <c r="G174" s="200">
        <f>E174*F174</f>
        <v>0</v>
      </c>
      <c r="H174" s="201">
        <v>0</v>
      </c>
      <c r="I174" s="201">
        <f>E174*H174</f>
        <v>0</v>
      </c>
      <c r="J174" s="85">
        <v>0</v>
      </c>
      <c r="K174" s="85">
        <f>E174*J174</f>
        <v>0</v>
      </c>
      <c r="L174" s="85"/>
      <c r="M174" s="85"/>
      <c r="N174" s="202"/>
      <c r="O174" s="203"/>
      <c r="P174" s="203"/>
      <c r="Q174" s="203"/>
      <c r="R174" s="203"/>
      <c r="S174" s="203"/>
      <c r="T174" s="203"/>
    </row>
    <row r="175" spans="1:20" s="596" customFormat="1" ht="30" customHeight="1">
      <c r="A175" s="683"/>
      <c r="B175" s="681" t="s">
        <v>1460</v>
      </c>
      <c r="C175" s="678" t="s">
        <v>1570</v>
      </c>
      <c r="D175" s="685">
        <f>(11.7+1.8+1.6+3.8+3.6+5.8+23.9+37.9)*0.45</f>
        <v>40.545</v>
      </c>
      <c r="E175" s="679"/>
      <c r="F175" s="679"/>
      <c r="G175" s="680"/>
      <c r="H175" s="592"/>
      <c r="I175" s="592"/>
      <c r="J175" s="593"/>
      <c r="K175" s="593"/>
      <c r="L175" s="593"/>
      <c r="M175" s="593"/>
      <c r="N175" s="594"/>
      <c r="O175" s="595"/>
      <c r="P175" s="595"/>
      <c r="Q175" s="595"/>
      <c r="R175" s="595"/>
      <c r="S175" s="595"/>
      <c r="T175" s="595"/>
    </row>
    <row r="176" spans="1:20" s="596" customFormat="1" ht="17.25" customHeight="1">
      <c r="A176" s="683"/>
      <c r="B176" s="682" t="s">
        <v>1461</v>
      </c>
      <c r="C176" s="678" t="s">
        <v>1572</v>
      </c>
      <c r="D176" s="685">
        <f>(11.7+1.8+1.6+3.8+3.6+5.8+23.9+37.9)*2</f>
        <v>180.2</v>
      </c>
      <c r="E176" s="679"/>
      <c r="F176" s="679"/>
      <c r="G176" s="680"/>
      <c r="H176" s="592"/>
      <c r="I176" s="592"/>
      <c r="J176" s="593"/>
      <c r="K176" s="593"/>
      <c r="L176" s="593"/>
      <c r="M176" s="593"/>
      <c r="N176" s="594"/>
      <c r="O176" s="595"/>
      <c r="P176" s="595"/>
      <c r="Q176" s="595"/>
      <c r="R176" s="595"/>
      <c r="S176" s="595"/>
      <c r="T176" s="595"/>
    </row>
    <row r="177" spans="1:20" s="204" customFormat="1" ht="24" customHeight="1">
      <c r="A177" s="268" t="s">
        <v>269</v>
      </c>
      <c r="B177" s="197" t="s">
        <v>1413</v>
      </c>
      <c r="C177" s="136" t="s">
        <v>1414</v>
      </c>
      <c r="D177" s="198" t="s">
        <v>181</v>
      </c>
      <c r="E177" s="199">
        <f>E174*0.127</f>
        <v>28.034615000000002</v>
      </c>
      <c r="F177" s="199"/>
      <c r="G177" s="200">
        <f>E177*F177</f>
        <v>0</v>
      </c>
      <c r="H177" s="201">
        <v>0</v>
      </c>
      <c r="I177" s="201">
        <f>E177*H177</f>
        <v>0</v>
      </c>
      <c r="J177" s="85">
        <v>0</v>
      </c>
      <c r="K177" s="85">
        <f>E177*J177</f>
        <v>0</v>
      </c>
      <c r="L177" s="85"/>
      <c r="M177" s="85"/>
      <c r="N177" s="202"/>
      <c r="O177" s="203"/>
      <c r="P177" s="203"/>
      <c r="Q177" s="203"/>
      <c r="R177" s="203"/>
      <c r="S177" s="203"/>
      <c r="T177" s="203"/>
    </row>
    <row r="178" spans="1:20" s="204" customFormat="1" ht="30.75" customHeight="1">
      <c r="A178" s="268" t="s">
        <v>329</v>
      </c>
      <c r="B178" s="197" t="s">
        <v>1415</v>
      </c>
      <c r="C178" s="136" t="s">
        <v>1416</v>
      </c>
      <c r="D178" s="198" t="s">
        <v>46</v>
      </c>
      <c r="E178" s="199">
        <f>SUM(D179)</f>
        <v>40.545</v>
      </c>
      <c r="F178" s="199"/>
      <c r="G178" s="200">
        <f>E178*F178</f>
        <v>0</v>
      </c>
      <c r="H178" s="201">
        <v>0</v>
      </c>
      <c r="I178" s="201">
        <f>E178*H178</f>
        <v>0</v>
      </c>
      <c r="J178" s="85">
        <v>0</v>
      </c>
      <c r="K178" s="85">
        <f>E178*J178</f>
        <v>0</v>
      </c>
      <c r="L178" s="85"/>
      <c r="M178" s="85"/>
      <c r="N178" s="202"/>
      <c r="O178" s="203"/>
      <c r="P178" s="203"/>
      <c r="Q178" s="203"/>
      <c r="R178" s="203"/>
      <c r="S178" s="203"/>
      <c r="T178" s="203"/>
    </row>
    <row r="179" spans="1:20" s="596" customFormat="1" ht="24" customHeight="1">
      <c r="A179" s="683"/>
      <c r="B179" s="681" t="s">
        <v>1460</v>
      </c>
      <c r="C179" s="678" t="s">
        <v>1570</v>
      </c>
      <c r="D179" s="685">
        <f>(11.7+1.8+1.6+3.8+3.6+5.8+23.9+37.9)*0.45</f>
        <v>40.545</v>
      </c>
      <c r="E179" s="679"/>
      <c r="F179" s="679"/>
      <c r="G179" s="680"/>
      <c r="H179" s="592"/>
      <c r="I179" s="592"/>
      <c r="J179" s="593"/>
      <c r="K179" s="593"/>
      <c r="L179" s="593"/>
      <c r="M179" s="593"/>
      <c r="N179" s="594"/>
      <c r="O179" s="595"/>
      <c r="P179" s="595"/>
      <c r="Q179" s="595"/>
      <c r="R179" s="595"/>
      <c r="S179" s="595"/>
      <c r="T179" s="595"/>
    </row>
    <row r="180" spans="1:20" s="204" customFormat="1" ht="24" customHeight="1">
      <c r="A180" s="268" t="s">
        <v>330</v>
      </c>
      <c r="B180" s="197" t="s">
        <v>1417</v>
      </c>
      <c r="C180" s="136" t="s">
        <v>1418</v>
      </c>
      <c r="D180" s="198" t="s">
        <v>181</v>
      </c>
      <c r="E180" s="199">
        <f>E178*1.5</f>
        <v>60.8175</v>
      </c>
      <c r="F180" s="199"/>
      <c r="G180" s="200">
        <f>E180*F180</f>
        <v>0</v>
      </c>
      <c r="H180" s="201">
        <v>0.001</v>
      </c>
      <c r="I180" s="201">
        <f>E180*H180</f>
        <v>0.060817500000000004</v>
      </c>
      <c r="J180" s="85">
        <v>0</v>
      </c>
      <c r="K180" s="85">
        <f>E180*J180</f>
        <v>0</v>
      </c>
      <c r="L180" s="85"/>
      <c r="M180" s="85"/>
      <c r="N180" s="202"/>
      <c r="O180" s="203"/>
      <c r="P180" s="203"/>
      <c r="Q180" s="203"/>
      <c r="R180" s="203"/>
      <c r="S180" s="203"/>
      <c r="T180" s="203"/>
    </row>
    <row r="181" spans="1:20" s="204" customFormat="1" ht="24" customHeight="1">
      <c r="A181" s="268" t="s">
        <v>331</v>
      </c>
      <c r="B181" s="197" t="s">
        <v>1411</v>
      </c>
      <c r="C181" s="136" t="s">
        <v>1454</v>
      </c>
      <c r="D181" s="198" t="s">
        <v>46</v>
      </c>
      <c r="E181" s="199">
        <f>SUM(D182:D182)</f>
        <v>40.545</v>
      </c>
      <c r="F181" s="199"/>
      <c r="G181" s="200">
        <f>E181*F181</f>
        <v>0</v>
      </c>
      <c r="H181" s="201">
        <v>0</v>
      </c>
      <c r="I181" s="201">
        <f>E181*H181</f>
        <v>0</v>
      </c>
      <c r="J181" s="85">
        <v>0</v>
      </c>
      <c r="K181" s="85">
        <f>E181*J181</f>
        <v>0</v>
      </c>
      <c r="L181" s="85"/>
      <c r="M181" s="85"/>
      <c r="N181" s="202"/>
      <c r="O181" s="203"/>
      <c r="P181" s="203"/>
      <c r="Q181" s="203"/>
      <c r="R181" s="203"/>
      <c r="S181" s="203"/>
      <c r="T181" s="203"/>
    </row>
    <row r="182" spans="1:20" s="596" customFormat="1" ht="24" customHeight="1">
      <c r="A182" s="683"/>
      <c r="B182" s="681" t="s">
        <v>1460</v>
      </c>
      <c r="C182" s="678" t="s">
        <v>1570</v>
      </c>
      <c r="D182" s="685">
        <f>(11.7+1.8+1.6+3.8+3.6+5.8+23.9+37.9)*0.45</f>
        <v>40.545</v>
      </c>
      <c r="E182" s="679"/>
      <c r="F182" s="679"/>
      <c r="G182" s="680"/>
      <c r="H182" s="592"/>
      <c r="I182" s="592"/>
      <c r="J182" s="593"/>
      <c r="K182" s="593"/>
      <c r="L182" s="593"/>
      <c r="M182" s="593"/>
      <c r="N182" s="594"/>
      <c r="O182" s="595"/>
      <c r="P182" s="595"/>
      <c r="Q182" s="595"/>
      <c r="R182" s="595"/>
      <c r="S182" s="595"/>
      <c r="T182" s="595"/>
    </row>
    <row r="183" spans="1:20" s="204" customFormat="1" ht="24" customHeight="1">
      <c r="A183" s="268" t="s">
        <v>332</v>
      </c>
      <c r="B183" s="197" t="s">
        <v>1419</v>
      </c>
      <c r="C183" s="136" t="s">
        <v>1420</v>
      </c>
      <c r="D183" s="198" t="s">
        <v>181</v>
      </c>
      <c r="E183" s="199">
        <f>E181*0.127</f>
        <v>5.149215</v>
      </c>
      <c r="F183" s="199"/>
      <c r="G183" s="200">
        <f>E183*F183</f>
        <v>0</v>
      </c>
      <c r="H183" s="201">
        <v>0</v>
      </c>
      <c r="I183" s="201">
        <f>E183*H183</f>
        <v>0</v>
      </c>
      <c r="J183" s="85">
        <v>0</v>
      </c>
      <c r="K183" s="85">
        <f>E183*J183</f>
        <v>0</v>
      </c>
      <c r="L183" s="85"/>
      <c r="M183" s="85"/>
      <c r="N183" s="202"/>
      <c r="O183" s="203"/>
      <c r="P183" s="203"/>
      <c r="Q183" s="203"/>
      <c r="R183" s="203"/>
      <c r="S183" s="203"/>
      <c r="T183" s="203"/>
    </row>
    <row r="184" spans="1:20" s="204" customFormat="1" ht="30" customHeight="1">
      <c r="A184" s="268" t="s">
        <v>333</v>
      </c>
      <c r="B184" s="197" t="s">
        <v>1467</v>
      </c>
      <c r="C184" s="136" t="s">
        <v>1440</v>
      </c>
      <c r="D184" s="198" t="s">
        <v>46</v>
      </c>
      <c r="E184" s="199">
        <f>SUM(D185:D185)</f>
        <v>40.545</v>
      </c>
      <c r="F184" s="199"/>
      <c r="G184" s="200">
        <f>E184*F184</f>
        <v>0</v>
      </c>
      <c r="H184" s="201">
        <v>0.0234</v>
      </c>
      <c r="I184" s="201">
        <f>E184*H184</f>
        <v>0.9487530000000001</v>
      </c>
      <c r="J184" s="85">
        <v>0</v>
      </c>
      <c r="K184" s="85">
        <f>E184*J184</f>
        <v>0</v>
      </c>
      <c r="L184" s="85"/>
      <c r="M184" s="85"/>
      <c r="N184" s="202"/>
      <c r="O184" s="203"/>
      <c r="P184" s="203"/>
      <c r="Q184" s="203"/>
      <c r="R184" s="203"/>
      <c r="S184" s="203"/>
      <c r="T184" s="203"/>
    </row>
    <row r="185" spans="1:20" s="596" customFormat="1" ht="24" customHeight="1">
      <c r="A185" s="683"/>
      <c r="B185" s="681" t="s">
        <v>1460</v>
      </c>
      <c r="C185" s="678" t="s">
        <v>1570</v>
      </c>
      <c r="D185" s="685">
        <f>(11.7+1.8+1.6+3.8+3.6+5.8+23.9+37.9)*0.45</f>
        <v>40.545</v>
      </c>
      <c r="E185" s="679"/>
      <c r="F185" s="679"/>
      <c r="G185" s="680"/>
      <c r="H185" s="592"/>
      <c r="I185" s="592"/>
      <c r="J185" s="593"/>
      <c r="K185" s="593"/>
      <c r="L185" s="593"/>
      <c r="M185" s="593"/>
      <c r="N185" s="594"/>
      <c r="O185" s="595"/>
      <c r="P185" s="595"/>
      <c r="Q185" s="595"/>
      <c r="R185" s="595"/>
      <c r="S185" s="595"/>
      <c r="T185" s="595"/>
    </row>
    <row r="186" spans="1:20" s="204" customFormat="1" ht="24" customHeight="1">
      <c r="A186" s="268" t="s">
        <v>373</v>
      </c>
      <c r="B186" s="197" t="s">
        <v>1466</v>
      </c>
      <c r="C186" s="136" t="s">
        <v>1465</v>
      </c>
      <c r="D186" s="198" t="s">
        <v>46</v>
      </c>
      <c r="E186" s="199">
        <f>SUM(D187)</f>
        <v>180.2</v>
      </c>
      <c r="F186" s="199"/>
      <c r="G186" s="200">
        <f>E186*F186</f>
        <v>0</v>
      </c>
      <c r="H186" s="201">
        <v>0.01325</v>
      </c>
      <c r="I186" s="201">
        <f>E186*H186</f>
        <v>2.38765</v>
      </c>
      <c r="J186" s="85">
        <v>0</v>
      </c>
      <c r="K186" s="85">
        <f>E186*J186</f>
        <v>0</v>
      </c>
      <c r="L186" s="85"/>
      <c r="M186" s="85"/>
      <c r="N186" s="202"/>
      <c r="O186" s="203"/>
      <c r="P186" s="203"/>
      <c r="Q186" s="203"/>
      <c r="R186" s="203"/>
      <c r="S186" s="203"/>
      <c r="T186" s="203"/>
    </row>
    <row r="187" spans="1:20" s="596" customFormat="1" ht="24" customHeight="1">
      <c r="A187" s="683"/>
      <c r="B187" s="682" t="s">
        <v>1461</v>
      </c>
      <c r="C187" s="678" t="s">
        <v>1572</v>
      </c>
      <c r="D187" s="685">
        <f>(11.7+1.8+1.6+3.8+3.6+5.8+23.9+37.9)*2</f>
        <v>180.2</v>
      </c>
      <c r="E187" s="679"/>
      <c r="F187" s="679"/>
      <c r="G187" s="680"/>
      <c r="H187" s="592"/>
      <c r="I187" s="592"/>
      <c r="J187" s="593"/>
      <c r="K187" s="593"/>
      <c r="L187" s="593"/>
      <c r="M187" s="593"/>
      <c r="N187" s="594"/>
      <c r="O187" s="595"/>
      <c r="P187" s="595"/>
      <c r="Q187" s="595"/>
      <c r="R187" s="595"/>
      <c r="S187" s="595"/>
      <c r="T187" s="595"/>
    </row>
    <row r="188" spans="1:20" s="204" customFormat="1" ht="24" customHeight="1">
      <c r="A188" s="268" t="s">
        <v>374</v>
      </c>
      <c r="B188" s="197">
        <v>612321121</v>
      </c>
      <c r="C188" s="136" t="s">
        <v>2407</v>
      </c>
      <c r="D188" s="198" t="s">
        <v>46</v>
      </c>
      <c r="E188" s="199">
        <f>SUM(D189)</f>
        <v>315.4</v>
      </c>
      <c r="F188" s="199"/>
      <c r="G188" s="200">
        <f>E188*F188</f>
        <v>0</v>
      </c>
      <c r="H188" s="201">
        <v>0.0154</v>
      </c>
      <c r="I188" s="201">
        <f>E188*H188</f>
        <v>4.8571599999999995</v>
      </c>
      <c r="J188" s="85">
        <v>0</v>
      </c>
      <c r="K188" s="85">
        <f>E188*J188</f>
        <v>0</v>
      </c>
      <c r="L188" s="85"/>
      <c r="M188" s="85"/>
      <c r="N188" s="202"/>
      <c r="O188" s="203"/>
      <c r="P188" s="203"/>
      <c r="Q188" s="203"/>
      <c r="R188" s="203"/>
      <c r="S188" s="203"/>
      <c r="T188" s="203"/>
    </row>
    <row r="189" spans="1:20" s="596" customFormat="1" ht="24" customHeight="1">
      <c r="A189" s="683"/>
      <c r="B189" s="682" t="s">
        <v>1461</v>
      </c>
      <c r="C189" s="678" t="s">
        <v>1573</v>
      </c>
      <c r="D189" s="685">
        <f>(11.7+1.8+1.6+3.8+3.6+5.8+23.9+37.9)*3.5+0.05</f>
        <v>315.4</v>
      </c>
      <c r="E189" s="679"/>
      <c r="F189" s="679"/>
      <c r="G189" s="680"/>
      <c r="H189" s="592"/>
      <c r="I189" s="592"/>
      <c r="J189" s="593"/>
      <c r="K189" s="593"/>
      <c r="L189" s="593"/>
      <c r="M189" s="593"/>
      <c r="N189" s="594"/>
      <c r="O189" s="595"/>
      <c r="P189" s="595"/>
      <c r="Q189" s="595"/>
      <c r="R189" s="595"/>
      <c r="S189" s="595"/>
      <c r="T189" s="595"/>
    </row>
    <row r="190" spans="1:20" s="204" customFormat="1" ht="24" customHeight="1">
      <c r="A190" s="268" t="s">
        <v>376</v>
      </c>
      <c r="B190" s="197">
        <v>612142001</v>
      </c>
      <c r="C190" s="136" t="s">
        <v>132</v>
      </c>
      <c r="D190" s="198" t="s">
        <v>46</v>
      </c>
      <c r="E190" s="199">
        <f>SUM(D191:D192)</f>
        <v>40.397999999999996</v>
      </c>
      <c r="F190" s="199"/>
      <c r="G190" s="200">
        <f>E190*F190</f>
        <v>0</v>
      </c>
      <c r="H190" s="201">
        <v>0.00438</v>
      </c>
      <c r="I190" s="201">
        <f>E190*H190</f>
        <v>0.17694324</v>
      </c>
      <c r="J190" s="85">
        <v>0</v>
      </c>
      <c r="K190" s="85">
        <f>E190*J190</f>
        <v>0</v>
      </c>
      <c r="L190" s="85"/>
      <c r="M190" s="85"/>
      <c r="N190" s="202"/>
      <c r="O190" s="203"/>
      <c r="P190" s="203"/>
      <c r="Q190" s="203"/>
      <c r="R190" s="203"/>
      <c r="S190" s="203"/>
      <c r="T190" s="203"/>
    </row>
    <row r="191" spans="1:14" s="595" customFormat="1" ht="21.75" customHeight="1">
      <c r="A191" s="683"/>
      <c r="B191" s="686" t="s">
        <v>1472</v>
      </c>
      <c r="C191" s="245" t="s">
        <v>1567</v>
      </c>
      <c r="D191" s="685">
        <f>((2.75+1.52+1.82)*2.7-0.6*1.97*2)*2+0.04</f>
        <v>28.198</v>
      </c>
      <c r="E191" s="688"/>
      <c r="F191" s="688"/>
      <c r="G191" s="689"/>
      <c r="H191" s="593"/>
      <c r="I191" s="593"/>
      <c r="J191" s="593"/>
      <c r="K191" s="593"/>
      <c r="L191" s="593"/>
      <c r="M191" s="593"/>
      <c r="N191" s="594"/>
    </row>
    <row r="192" spans="1:14" s="595" customFormat="1" ht="21.75" customHeight="1">
      <c r="A192" s="683"/>
      <c r="B192" s="686" t="s">
        <v>1568</v>
      </c>
      <c r="C192" s="245" t="s">
        <v>1569</v>
      </c>
      <c r="D192" s="685">
        <f>(0.8*2+1.5*1.2+1.35*2)*2</f>
        <v>12.2</v>
      </c>
      <c r="E192" s="688"/>
      <c r="F192" s="688"/>
      <c r="G192" s="689"/>
      <c r="H192" s="593"/>
      <c r="I192" s="593"/>
      <c r="J192" s="593"/>
      <c r="K192" s="593"/>
      <c r="L192" s="593"/>
      <c r="M192" s="593"/>
      <c r="N192" s="594"/>
    </row>
    <row r="193" spans="1:20" s="271" customFormat="1" ht="12.75">
      <c r="A193" s="268"/>
      <c r="B193" s="269"/>
      <c r="C193" s="270"/>
      <c r="D193" s="269"/>
      <c r="E193" s="669"/>
      <c r="F193" s="669"/>
      <c r="G193" s="274"/>
      <c r="H193" s="85"/>
      <c r="I193" s="85"/>
      <c r="J193" s="85"/>
      <c r="K193" s="85"/>
      <c r="L193" s="85"/>
      <c r="M193" s="85"/>
      <c r="N193" s="202"/>
      <c r="O193" s="203"/>
      <c r="P193" s="203"/>
      <c r="Q193" s="203"/>
      <c r="R193" s="203"/>
      <c r="S193" s="203"/>
      <c r="T193" s="203"/>
    </row>
    <row r="194" spans="1:20" s="271" customFormat="1" ht="13">
      <c r="A194" s="268" t="s">
        <v>378</v>
      </c>
      <c r="B194" s="674" t="s">
        <v>1574</v>
      </c>
      <c r="C194" s="270" t="s">
        <v>261</v>
      </c>
      <c r="D194" s="269" t="s">
        <v>46</v>
      </c>
      <c r="E194" s="199">
        <v>171.00200000000004</v>
      </c>
      <c r="F194" s="199"/>
      <c r="G194" s="200">
        <f>E194*F194</f>
        <v>0</v>
      </c>
      <c r="H194" s="85">
        <v>0.017</v>
      </c>
      <c r="I194" s="201">
        <f>E194*H194</f>
        <v>2.907034000000001</v>
      </c>
      <c r="J194" s="85">
        <v>0</v>
      </c>
      <c r="K194" s="85">
        <f>E194*J194</f>
        <v>0</v>
      </c>
      <c r="L194" s="85"/>
      <c r="M194" s="85"/>
      <c r="N194" s="202"/>
      <c r="O194" s="203"/>
      <c r="P194" s="203"/>
      <c r="Q194" s="203"/>
      <c r="R194" s="203"/>
      <c r="S194" s="203"/>
      <c r="T194" s="203"/>
    </row>
    <row r="195" spans="1:20" s="271" customFormat="1" ht="12.75">
      <c r="A195" s="268"/>
      <c r="B195" s="269"/>
      <c r="C195" s="270"/>
      <c r="D195" s="269"/>
      <c r="E195" s="669"/>
      <c r="F195" s="669"/>
      <c r="G195" s="274"/>
      <c r="H195" s="85"/>
      <c r="I195" s="85"/>
      <c r="J195" s="85"/>
      <c r="K195" s="85"/>
      <c r="L195" s="85"/>
      <c r="M195" s="85"/>
      <c r="N195" s="202"/>
      <c r="O195" s="203"/>
      <c r="P195" s="203"/>
      <c r="Q195" s="203"/>
      <c r="R195" s="203"/>
      <c r="S195" s="203"/>
      <c r="T195" s="203"/>
    </row>
    <row r="196" spans="1:20" s="271" customFormat="1" ht="22.5" customHeight="1">
      <c r="A196" s="268" t="s">
        <v>380</v>
      </c>
      <c r="B196" s="674" t="s">
        <v>1438</v>
      </c>
      <c r="C196" s="270" t="s">
        <v>1439</v>
      </c>
      <c r="D196" s="269" t="s">
        <v>46</v>
      </c>
      <c r="E196" s="199">
        <f>SUM(D197)</f>
        <v>324.40000000000003</v>
      </c>
      <c r="F196" s="199"/>
      <c r="G196" s="200">
        <f>E196*F196</f>
        <v>0</v>
      </c>
      <c r="H196" s="85">
        <v>0.003</v>
      </c>
      <c r="I196" s="201">
        <f>E196*H196</f>
        <v>0.9732000000000002</v>
      </c>
      <c r="J196" s="85">
        <v>0</v>
      </c>
      <c r="K196" s="85">
        <f>E196*J196</f>
        <v>0</v>
      </c>
      <c r="L196" s="85"/>
      <c r="M196" s="85"/>
      <c r="N196" s="202"/>
      <c r="O196" s="203"/>
      <c r="P196" s="203"/>
      <c r="Q196" s="203"/>
      <c r="R196" s="203"/>
      <c r="S196" s="203"/>
      <c r="T196" s="203"/>
    </row>
    <row r="197" spans="1:20" s="596" customFormat="1" ht="18" customHeight="1">
      <c r="A197" s="720"/>
      <c r="B197" s="721" t="s">
        <v>70</v>
      </c>
      <c r="C197" s="678" t="s">
        <v>1575</v>
      </c>
      <c r="D197" s="685">
        <f>(11.7+1.8+1.6+3.8+3.6+5.8+23.9+37.9)*3.6+0.04</f>
        <v>324.40000000000003</v>
      </c>
      <c r="E197" s="679"/>
      <c r="F197" s="679"/>
      <c r="G197" s="680"/>
      <c r="H197" s="592"/>
      <c r="I197" s="592"/>
      <c r="J197" s="593"/>
      <c r="K197" s="593"/>
      <c r="L197" s="593"/>
      <c r="M197" s="593"/>
      <c r="N197" s="594"/>
      <c r="O197" s="595"/>
      <c r="P197" s="595"/>
      <c r="Q197" s="595"/>
      <c r="R197" s="595"/>
      <c r="S197" s="595"/>
      <c r="T197" s="595"/>
    </row>
    <row r="198" spans="1:20" s="271" customFormat="1" ht="12.75">
      <c r="A198" s="268"/>
      <c r="B198" s="269"/>
      <c r="C198" s="270"/>
      <c r="D198" s="269"/>
      <c r="E198" s="669"/>
      <c r="F198" s="669"/>
      <c r="G198" s="274"/>
      <c r="H198" s="85"/>
      <c r="I198" s="85"/>
      <c r="J198" s="85"/>
      <c r="K198" s="85"/>
      <c r="L198" s="85"/>
      <c r="M198" s="85"/>
      <c r="N198" s="202"/>
      <c r="O198" s="203"/>
      <c r="P198" s="203"/>
      <c r="Q198" s="203"/>
      <c r="R198" s="203"/>
      <c r="S198" s="203"/>
      <c r="T198" s="203"/>
    </row>
    <row r="199" spans="1:20" s="271" customFormat="1" ht="30" customHeight="1">
      <c r="A199" s="268" t="s">
        <v>382</v>
      </c>
      <c r="B199" s="674" t="s">
        <v>1468</v>
      </c>
      <c r="C199" s="270" t="s">
        <v>1469</v>
      </c>
      <c r="D199" s="269" t="s">
        <v>46</v>
      </c>
      <c r="E199" s="199">
        <v>23.8</v>
      </c>
      <c r="F199" s="199"/>
      <c r="G199" s="200">
        <f>E199*F199</f>
        <v>0</v>
      </c>
      <c r="H199" s="85">
        <v>0.00438</v>
      </c>
      <c r="I199" s="201">
        <f>E199*H199</f>
        <v>0.104244</v>
      </c>
      <c r="J199" s="85">
        <v>0</v>
      </c>
      <c r="K199" s="85">
        <f>E199*J199</f>
        <v>0</v>
      </c>
      <c r="L199" s="85"/>
      <c r="M199" s="85"/>
      <c r="N199" s="202"/>
      <c r="O199" s="203"/>
      <c r="P199" s="203"/>
      <c r="Q199" s="203"/>
      <c r="R199" s="203"/>
      <c r="S199" s="203"/>
      <c r="T199" s="203"/>
    </row>
    <row r="200" spans="1:20" s="271" customFormat="1" ht="13">
      <c r="A200" s="268" t="s">
        <v>782</v>
      </c>
      <c r="B200" s="674" t="s">
        <v>1470</v>
      </c>
      <c r="C200" s="270" t="s">
        <v>1471</v>
      </c>
      <c r="D200" s="269" t="s">
        <v>46</v>
      </c>
      <c r="E200" s="669">
        <f>E199</f>
        <v>23.8</v>
      </c>
      <c r="F200" s="669"/>
      <c r="G200" s="200">
        <f>E200*F200</f>
        <v>0</v>
      </c>
      <c r="H200" s="85">
        <v>0.0154</v>
      </c>
      <c r="I200" s="201">
        <f>E200*H200</f>
        <v>0.36652</v>
      </c>
      <c r="J200" s="85">
        <v>0</v>
      </c>
      <c r="K200" s="85">
        <f>E200*J200</f>
        <v>0</v>
      </c>
      <c r="L200" s="85"/>
      <c r="M200" s="85"/>
      <c r="N200" s="202"/>
      <c r="O200" s="203"/>
      <c r="P200" s="203"/>
      <c r="Q200" s="203"/>
      <c r="R200" s="203"/>
      <c r="S200" s="203"/>
      <c r="T200" s="203"/>
    </row>
    <row r="201" spans="1:20" s="271" customFormat="1" ht="21.75" customHeight="1">
      <c r="A201" s="268"/>
      <c r="B201" s="269">
        <v>611311131</v>
      </c>
      <c r="C201" s="270" t="s">
        <v>1576</v>
      </c>
      <c r="D201" s="269" t="s">
        <v>46</v>
      </c>
      <c r="E201" s="669">
        <v>1.2</v>
      </c>
      <c r="F201" s="669"/>
      <c r="G201" s="200">
        <f>E201*F201</f>
        <v>0</v>
      </c>
      <c r="H201" s="85">
        <v>0.003</v>
      </c>
      <c r="I201" s="201">
        <f>E201*H201</f>
        <v>0.0036</v>
      </c>
      <c r="J201" s="85">
        <v>0</v>
      </c>
      <c r="K201" s="85">
        <f>E201*J201</f>
        <v>0</v>
      </c>
      <c r="L201" s="85"/>
      <c r="M201" s="85"/>
      <c r="N201" s="202"/>
      <c r="O201" s="203"/>
      <c r="P201" s="203"/>
      <c r="Q201" s="203"/>
      <c r="R201" s="203"/>
      <c r="S201" s="203"/>
      <c r="T201" s="203"/>
    </row>
    <row r="202" spans="1:20" s="271" customFormat="1" ht="21.75" customHeight="1">
      <c r="A202" s="268"/>
      <c r="B202" s="269"/>
      <c r="C202" s="270"/>
      <c r="D202" s="269"/>
      <c r="E202" s="739"/>
      <c r="F202" s="739"/>
      <c r="G202" s="459"/>
      <c r="H202" s="85"/>
      <c r="I202" s="201"/>
      <c r="J202" s="85"/>
      <c r="K202" s="85"/>
      <c r="L202" s="85"/>
      <c r="M202" s="85"/>
      <c r="N202" s="202"/>
      <c r="O202" s="203"/>
      <c r="P202" s="203"/>
      <c r="Q202" s="203"/>
      <c r="R202" s="203"/>
      <c r="S202" s="203"/>
      <c r="T202" s="203"/>
    </row>
    <row r="203" spans="1:20" s="271" customFormat="1" ht="21.75" customHeight="1">
      <c r="A203" s="268"/>
      <c r="B203" s="269"/>
      <c r="C203" s="254" t="s">
        <v>135</v>
      </c>
      <c r="D203" s="269"/>
      <c r="E203" s="669"/>
      <c r="F203" s="669"/>
      <c r="G203" s="274"/>
      <c r="H203" s="85"/>
      <c r="I203" s="85"/>
      <c r="J203" s="85"/>
      <c r="K203" s="85"/>
      <c r="L203" s="85"/>
      <c r="M203" s="85"/>
      <c r="N203" s="202"/>
      <c r="O203" s="203"/>
      <c r="P203" s="203"/>
      <c r="Q203" s="203"/>
      <c r="R203" s="203"/>
      <c r="S203" s="203"/>
      <c r="T203" s="203"/>
    </row>
    <row r="204" spans="1:20" s="204" customFormat="1" ht="24" customHeight="1">
      <c r="A204" s="268" t="s">
        <v>783</v>
      </c>
      <c r="B204" s="197" t="s">
        <v>1585</v>
      </c>
      <c r="C204" s="136" t="s">
        <v>1586</v>
      </c>
      <c r="D204" s="198" t="s">
        <v>116</v>
      </c>
      <c r="E204" s="199">
        <f>SUM(D205)</f>
        <v>10.000000000000002</v>
      </c>
      <c r="F204" s="199"/>
      <c r="G204" s="240">
        <f>$E204*F204</f>
        <v>0</v>
      </c>
      <c r="H204" s="201">
        <v>0.00105</v>
      </c>
      <c r="I204" s="242">
        <f>E204*H204</f>
        <v>0.0105</v>
      </c>
      <c r="J204" s="243">
        <v>0</v>
      </c>
      <c r="K204" s="241">
        <f>E204*J204</f>
        <v>0</v>
      </c>
      <c r="L204" s="85"/>
      <c r="M204" s="85"/>
      <c r="N204" s="202"/>
      <c r="O204" s="203"/>
      <c r="P204" s="203"/>
      <c r="Q204" s="203"/>
      <c r="R204" s="203"/>
      <c r="S204" s="203"/>
      <c r="T204" s="203"/>
    </row>
    <row r="205" spans="1:20" s="214" customFormat="1" ht="15" customHeight="1">
      <c r="A205" s="196"/>
      <c r="B205" s="205"/>
      <c r="C205" s="206" t="s">
        <v>1590</v>
      </c>
      <c r="D205" s="207">
        <f>50.2*0.2-0.04</f>
        <v>10.000000000000002</v>
      </c>
      <c r="E205" s="208"/>
      <c r="F205" s="208"/>
      <c r="G205" s="209"/>
      <c r="H205" s="210"/>
      <c r="I205" s="210"/>
      <c r="J205" s="211"/>
      <c r="K205" s="85"/>
      <c r="L205" s="211"/>
      <c r="M205" s="211"/>
      <c r="N205" s="212"/>
      <c r="O205" s="213"/>
      <c r="P205" s="213"/>
      <c r="Q205" s="213"/>
      <c r="R205" s="213"/>
      <c r="S205" s="213"/>
      <c r="T205" s="213"/>
    </row>
    <row r="206" spans="1:20" s="204" customFormat="1" ht="24" customHeight="1">
      <c r="A206" s="268" t="s">
        <v>784</v>
      </c>
      <c r="B206" s="197" t="s">
        <v>1587</v>
      </c>
      <c r="C206" s="136" t="s">
        <v>1588</v>
      </c>
      <c r="D206" s="198" t="s">
        <v>46</v>
      </c>
      <c r="E206" s="199">
        <v>50.2</v>
      </c>
      <c r="F206" s="199"/>
      <c r="G206" s="240">
        <f>$E206*F206</f>
        <v>0</v>
      </c>
      <c r="H206" s="201">
        <v>0.00105</v>
      </c>
      <c r="I206" s="242">
        <f>E206*H206</f>
        <v>0.05271</v>
      </c>
      <c r="J206" s="243">
        <v>0</v>
      </c>
      <c r="K206" s="241">
        <f>E206*J206</f>
        <v>0</v>
      </c>
      <c r="L206" s="85"/>
      <c r="M206" s="85"/>
      <c r="N206" s="202"/>
      <c r="O206" s="203"/>
      <c r="P206" s="203"/>
      <c r="Q206" s="203"/>
      <c r="R206" s="203"/>
      <c r="S206" s="203"/>
      <c r="T206" s="203"/>
    </row>
    <row r="207" spans="1:20" s="204" customFormat="1" ht="24" customHeight="1">
      <c r="A207" s="268" t="s">
        <v>785</v>
      </c>
      <c r="B207" s="197">
        <v>632681111</v>
      </c>
      <c r="C207" s="136" t="s">
        <v>1589</v>
      </c>
      <c r="D207" s="198" t="s">
        <v>175</v>
      </c>
      <c r="E207" s="199">
        <v>25</v>
      </c>
      <c r="F207" s="199"/>
      <c r="G207" s="240">
        <f>$E207*F207</f>
        <v>0</v>
      </c>
      <c r="H207" s="201">
        <v>9E-05</v>
      </c>
      <c r="I207" s="242">
        <f>E207*H207</f>
        <v>0.0022500000000000003</v>
      </c>
      <c r="J207" s="243">
        <v>0</v>
      </c>
      <c r="K207" s="241">
        <f>E207*J207</f>
        <v>0</v>
      </c>
      <c r="L207" s="85"/>
      <c r="M207" s="85"/>
      <c r="N207" s="202"/>
      <c r="O207" s="203"/>
      <c r="P207" s="203"/>
      <c r="Q207" s="203"/>
      <c r="R207" s="203"/>
      <c r="S207" s="203"/>
      <c r="T207" s="203"/>
    </row>
    <row r="208" spans="1:20" s="204" customFormat="1" ht="21.75" customHeight="1">
      <c r="A208" s="268" t="s">
        <v>786</v>
      </c>
      <c r="B208" s="197">
        <v>711111002</v>
      </c>
      <c r="C208" s="136" t="s">
        <v>1478</v>
      </c>
      <c r="D208" s="198" t="s">
        <v>46</v>
      </c>
      <c r="E208" s="199">
        <f>SUM(D209)</f>
        <v>190.00000000000003</v>
      </c>
      <c r="F208" s="199"/>
      <c r="G208" s="200">
        <f>E208*F208</f>
        <v>0</v>
      </c>
      <c r="H208" s="201">
        <v>0</v>
      </c>
      <c r="I208" s="201">
        <f>E208*H208</f>
        <v>0</v>
      </c>
      <c r="J208" s="85">
        <v>0</v>
      </c>
      <c r="K208" s="85">
        <f>E208*J208</f>
        <v>0</v>
      </c>
      <c r="L208" s="85"/>
      <c r="M208" s="85"/>
      <c r="N208" s="202"/>
      <c r="O208" s="203"/>
      <c r="P208" s="203"/>
      <c r="Q208" s="203"/>
      <c r="R208" s="203"/>
      <c r="S208" s="203"/>
      <c r="T208" s="203"/>
    </row>
    <row r="209" spans="1:20" s="596" customFormat="1" ht="18" customHeight="1">
      <c r="A209" s="720"/>
      <c r="B209" s="721"/>
      <c r="C209" s="206" t="s">
        <v>1591</v>
      </c>
      <c r="D209" s="685">
        <f>(7.5+5.6+3.4+1.2+2.9+33.6+68.1+50.2)*1.1+0.25</f>
        <v>190.00000000000003</v>
      </c>
      <c r="E209" s="679"/>
      <c r="F209" s="679"/>
      <c r="G209" s="680"/>
      <c r="H209" s="592"/>
      <c r="I209" s="592"/>
      <c r="J209" s="593"/>
      <c r="K209" s="593"/>
      <c r="L209" s="593"/>
      <c r="M209" s="593"/>
      <c r="N209" s="594"/>
      <c r="O209" s="595"/>
      <c r="P209" s="595"/>
      <c r="Q209" s="595"/>
      <c r="R209" s="595"/>
      <c r="S209" s="595"/>
      <c r="T209" s="595"/>
    </row>
    <row r="210" spans="1:20" s="204" customFormat="1" ht="21.75" customHeight="1">
      <c r="A210" s="268" t="s">
        <v>761</v>
      </c>
      <c r="B210" s="672">
        <v>11163152</v>
      </c>
      <c r="C210" s="667" t="s">
        <v>1479</v>
      </c>
      <c r="D210" s="668" t="s">
        <v>73</v>
      </c>
      <c r="E210" s="669">
        <f>0.00039*E208</f>
        <v>0.07410000000000001</v>
      </c>
      <c r="F210" s="669"/>
      <c r="G210" s="200">
        <f aca="true" t="shared" si="2" ref="G210:G216">E210*F210</f>
        <v>0</v>
      </c>
      <c r="H210" s="201">
        <v>1</v>
      </c>
      <c r="I210" s="201">
        <f aca="true" t="shared" si="3" ref="I210:I216">E210*H210</f>
        <v>0.07410000000000001</v>
      </c>
      <c r="J210" s="85">
        <v>0</v>
      </c>
      <c r="K210" s="85">
        <f aca="true" t="shared" si="4" ref="K210:K216">E210*J210</f>
        <v>0</v>
      </c>
      <c r="L210" s="85"/>
      <c r="M210" s="85"/>
      <c r="N210" s="202"/>
      <c r="O210" s="203"/>
      <c r="P210" s="203"/>
      <c r="Q210" s="203"/>
      <c r="R210" s="203"/>
      <c r="S210" s="203"/>
      <c r="T210" s="203"/>
    </row>
    <row r="211" spans="1:20" s="204" customFormat="1" ht="30.75" customHeight="1">
      <c r="A211" s="268" t="s">
        <v>787</v>
      </c>
      <c r="B211" s="663" t="s">
        <v>179</v>
      </c>
      <c r="C211" s="666" t="s">
        <v>1421</v>
      </c>
      <c r="D211" s="664" t="s">
        <v>46</v>
      </c>
      <c r="E211" s="665">
        <f>E208</f>
        <v>190.00000000000003</v>
      </c>
      <c r="F211" s="665"/>
      <c r="G211" s="200">
        <f t="shared" si="2"/>
        <v>0</v>
      </c>
      <c r="H211" s="201">
        <v>0.000127</v>
      </c>
      <c r="I211" s="242">
        <f t="shared" si="3"/>
        <v>0.024130000000000002</v>
      </c>
      <c r="J211" s="243">
        <v>0</v>
      </c>
      <c r="K211" s="241">
        <f t="shared" si="4"/>
        <v>0</v>
      </c>
      <c r="L211" s="85"/>
      <c r="M211" s="85"/>
      <c r="N211" s="202"/>
      <c r="O211" s="203"/>
      <c r="P211" s="203"/>
      <c r="Q211" s="203"/>
      <c r="R211" s="203"/>
      <c r="S211" s="203"/>
      <c r="T211" s="203"/>
    </row>
    <row r="212" spans="1:20" s="204" customFormat="1" ht="24" customHeight="1">
      <c r="A212" s="268" t="s">
        <v>1490</v>
      </c>
      <c r="B212" s="663" t="s">
        <v>1417</v>
      </c>
      <c r="C212" s="666" t="s">
        <v>1482</v>
      </c>
      <c r="D212" s="664" t="s">
        <v>181</v>
      </c>
      <c r="E212" s="665">
        <f>E211*1.5</f>
        <v>285.00000000000006</v>
      </c>
      <c r="F212" s="665"/>
      <c r="G212" s="200">
        <f t="shared" si="2"/>
        <v>0</v>
      </c>
      <c r="H212" s="201">
        <v>0</v>
      </c>
      <c r="I212" s="242">
        <f t="shared" si="3"/>
        <v>0</v>
      </c>
      <c r="J212" s="243">
        <v>0</v>
      </c>
      <c r="K212" s="241">
        <f t="shared" si="4"/>
        <v>0</v>
      </c>
      <c r="L212" s="85"/>
      <c r="M212" s="85"/>
      <c r="N212" s="202"/>
      <c r="O212" s="203"/>
      <c r="P212" s="203"/>
      <c r="Q212" s="203"/>
      <c r="R212" s="203"/>
      <c r="S212" s="203"/>
      <c r="T212" s="203"/>
    </row>
    <row r="213" spans="1:20" s="271" customFormat="1" ht="13">
      <c r="A213" s="268" t="s">
        <v>1491</v>
      </c>
      <c r="B213" s="269" t="s">
        <v>186</v>
      </c>
      <c r="C213" s="270" t="s">
        <v>1422</v>
      </c>
      <c r="D213" s="269" t="s">
        <v>46</v>
      </c>
      <c r="E213" s="669">
        <f>SUM(D214)</f>
        <v>122.3</v>
      </c>
      <c r="F213" s="669"/>
      <c r="G213" s="200">
        <f t="shared" si="2"/>
        <v>0</v>
      </c>
      <c r="H213" s="85">
        <v>0</v>
      </c>
      <c r="I213" s="201">
        <f t="shared" si="3"/>
        <v>0</v>
      </c>
      <c r="J213" s="85">
        <v>0</v>
      </c>
      <c r="K213" s="85">
        <f t="shared" si="4"/>
        <v>0</v>
      </c>
      <c r="L213" s="85"/>
      <c r="M213" s="85"/>
      <c r="N213" s="202"/>
      <c r="O213" s="203"/>
      <c r="P213" s="203"/>
      <c r="Q213" s="203"/>
      <c r="R213" s="203"/>
      <c r="S213" s="203"/>
      <c r="T213" s="203"/>
    </row>
    <row r="214" spans="1:20" s="596" customFormat="1" ht="18" customHeight="1">
      <c r="A214" s="720"/>
      <c r="B214" s="721"/>
      <c r="C214" s="206" t="s">
        <v>1593</v>
      </c>
      <c r="D214" s="685">
        <f>(7.5+5.6+3.4+1.2+2.9+33.6+68.1)</f>
        <v>122.3</v>
      </c>
      <c r="E214" s="679"/>
      <c r="F214" s="679"/>
      <c r="G214" s="680"/>
      <c r="H214" s="592"/>
      <c r="I214" s="592"/>
      <c r="J214" s="593"/>
      <c r="K214" s="593"/>
      <c r="L214" s="593"/>
      <c r="M214" s="593"/>
      <c r="N214" s="594"/>
      <c r="O214" s="595"/>
      <c r="P214" s="595"/>
      <c r="Q214" s="595"/>
      <c r="R214" s="595"/>
      <c r="S214" s="595"/>
      <c r="T214" s="595"/>
    </row>
    <row r="215" spans="1:20" s="271" customFormat="1" ht="13">
      <c r="A215" s="268" t="s">
        <v>1492</v>
      </c>
      <c r="B215" s="269" t="s">
        <v>188</v>
      </c>
      <c r="C215" s="270" t="s">
        <v>1423</v>
      </c>
      <c r="D215" s="269" t="s">
        <v>46</v>
      </c>
      <c r="E215" s="669">
        <f>2.04*E213+0.51</f>
        <v>250.00199999999998</v>
      </c>
      <c r="F215" s="669"/>
      <c r="G215" s="200">
        <f t="shared" si="2"/>
        <v>0</v>
      </c>
      <c r="H215" s="85">
        <v>0.004896</v>
      </c>
      <c r="I215" s="201">
        <f t="shared" si="3"/>
        <v>1.224009792</v>
      </c>
      <c r="J215" s="85">
        <v>0</v>
      </c>
      <c r="K215" s="85">
        <f t="shared" si="4"/>
        <v>0</v>
      </c>
      <c r="L215" s="85"/>
      <c r="M215" s="85"/>
      <c r="N215" s="202"/>
      <c r="O215" s="203"/>
      <c r="P215" s="203"/>
      <c r="Q215" s="203"/>
      <c r="R215" s="203"/>
      <c r="S215" s="203"/>
      <c r="T215" s="203"/>
    </row>
    <row r="216" spans="1:20" s="204" customFormat="1" ht="24" customHeight="1">
      <c r="A216" s="268" t="s">
        <v>1656</v>
      </c>
      <c r="B216" s="197" t="s">
        <v>1424</v>
      </c>
      <c r="C216" s="136" t="s">
        <v>1425</v>
      </c>
      <c r="D216" s="198" t="s">
        <v>116</v>
      </c>
      <c r="E216" s="199">
        <f>SUM(D217)</f>
        <v>117</v>
      </c>
      <c r="F216" s="199"/>
      <c r="G216" s="200">
        <f t="shared" si="2"/>
        <v>0</v>
      </c>
      <c r="H216" s="201">
        <v>0</v>
      </c>
      <c r="I216" s="242">
        <f t="shared" si="3"/>
        <v>0</v>
      </c>
      <c r="J216" s="243">
        <v>0</v>
      </c>
      <c r="K216" s="241">
        <f t="shared" si="4"/>
        <v>0</v>
      </c>
      <c r="L216" s="85"/>
      <c r="M216" s="85"/>
      <c r="N216" s="202"/>
      <c r="O216" s="203"/>
      <c r="P216" s="203"/>
      <c r="Q216" s="203"/>
      <c r="R216" s="203"/>
      <c r="S216" s="203"/>
      <c r="T216" s="203"/>
    </row>
    <row r="217" spans="1:20" s="596" customFormat="1" ht="18" customHeight="1">
      <c r="A217" s="720"/>
      <c r="B217" s="721"/>
      <c r="C217" s="684" t="s">
        <v>1594</v>
      </c>
      <c r="D217" s="685">
        <f>(10.8+9.7+13.4+25.5+46.8)*1.1+0.18</f>
        <v>117</v>
      </c>
      <c r="E217" s="679"/>
      <c r="F217" s="679"/>
      <c r="G217" s="680"/>
      <c r="H217" s="592"/>
      <c r="I217" s="592"/>
      <c r="J217" s="593"/>
      <c r="K217" s="593"/>
      <c r="L217" s="593"/>
      <c r="M217" s="593"/>
      <c r="N217" s="594"/>
      <c r="O217" s="595"/>
      <c r="P217" s="595"/>
      <c r="Q217" s="595"/>
      <c r="R217" s="595"/>
      <c r="S217" s="595"/>
      <c r="T217" s="595"/>
    </row>
    <row r="218" spans="1:20" s="204" customFormat="1" ht="24" customHeight="1">
      <c r="A218" s="268" t="s">
        <v>1493</v>
      </c>
      <c r="B218" s="197" t="s">
        <v>1426</v>
      </c>
      <c r="C218" s="136" t="s">
        <v>1427</v>
      </c>
      <c r="D218" s="198" t="s">
        <v>116</v>
      </c>
      <c r="E218" s="199">
        <f>1.1655*E216+0.04</f>
        <v>136.40349999999998</v>
      </c>
      <c r="F218" s="199"/>
      <c r="G218" s="200">
        <f>E218*F218</f>
        <v>0</v>
      </c>
      <c r="H218" s="201">
        <v>5E-05</v>
      </c>
      <c r="I218" s="242">
        <f>E218*H218</f>
        <v>0.0068201749999999995</v>
      </c>
      <c r="J218" s="243">
        <v>0</v>
      </c>
      <c r="K218" s="241">
        <f>E218*J218</f>
        <v>0</v>
      </c>
      <c r="L218" s="85"/>
      <c r="M218" s="85"/>
      <c r="N218" s="202"/>
      <c r="O218" s="203"/>
      <c r="P218" s="203"/>
      <c r="Q218" s="203"/>
      <c r="R218" s="203"/>
      <c r="S218" s="203"/>
      <c r="T218" s="203"/>
    </row>
    <row r="219" spans="1:20" s="271" customFormat="1" ht="18.75" customHeight="1">
      <c r="A219" s="268" t="s">
        <v>1494</v>
      </c>
      <c r="B219" s="269" t="s">
        <v>177</v>
      </c>
      <c r="C219" s="270" t="s">
        <v>1477</v>
      </c>
      <c r="D219" s="269" t="s">
        <v>46</v>
      </c>
      <c r="E219" s="669">
        <f>SUM(D220)</f>
        <v>140.695</v>
      </c>
      <c r="F219" s="669"/>
      <c r="G219" s="200">
        <f>E219*F219</f>
        <v>0</v>
      </c>
      <c r="H219" s="85">
        <v>0.00013</v>
      </c>
      <c r="I219" s="201">
        <f>E219*H219</f>
        <v>0.018290349999999997</v>
      </c>
      <c r="J219" s="85">
        <v>0</v>
      </c>
      <c r="K219" s="85">
        <f>E219*J219</f>
        <v>0</v>
      </c>
      <c r="L219" s="85"/>
      <c r="M219" s="85"/>
      <c r="N219" s="202"/>
      <c r="O219" s="203"/>
      <c r="P219" s="203"/>
      <c r="Q219" s="203"/>
      <c r="R219" s="203"/>
      <c r="S219" s="203"/>
      <c r="T219" s="203"/>
    </row>
    <row r="220" spans="1:20" s="596" customFormat="1" ht="18" customHeight="1">
      <c r="A220" s="720"/>
      <c r="B220" s="721"/>
      <c r="C220" s="206" t="s">
        <v>1595</v>
      </c>
      <c r="D220" s="685">
        <f>(7.5+5.6+3.4+1.2+2.9+33.6+68.1)*1.15+0.05</f>
        <v>140.695</v>
      </c>
      <c r="E220" s="679"/>
      <c r="F220" s="679"/>
      <c r="G220" s="680"/>
      <c r="H220" s="592"/>
      <c r="I220" s="592"/>
      <c r="J220" s="593"/>
      <c r="K220" s="593"/>
      <c r="L220" s="593"/>
      <c r="M220" s="593"/>
      <c r="N220" s="594"/>
      <c r="O220" s="595"/>
      <c r="P220" s="595"/>
      <c r="Q220" s="595"/>
      <c r="R220" s="595"/>
      <c r="S220" s="595"/>
      <c r="T220" s="595"/>
    </row>
    <row r="221" spans="1:20" s="271" customFormat="1" ht="17.25" customHeight="1">
      <c r="A221" s="268" t="s">
        <v>1495</v>
      </c>
      <c r="B221" s="269" t="s">
        <v>144</v>
      </c>
      <c r="C221" s="270" t="s">
        <v>1112</v>
      </c>
      <c r="D221" s="269" t="s">
        <v>46</v>
      </c>
      <c r="E221" s="669">
        <f>SUM(D222)</f>
        <v>172.5</v>
      </c>
      <c r="F221" s="669"/>
      <c r="G221" s="200">
        <f>E221*F221</f>
        <v>0</v>
      </c>
      <c r="H221" s="85">
        <v>0.11</v>
      </c>
      <c r="I221" s="201">
        <f>E221*H221</f>
        <v>18.975</v>
      </c>
      <c r="J221" s="85">
        <v>0</v>
      </c>
      <c r="K221" s="85">
        <f>E221*J221</f>
        <v>0</v>
      </c>
      <c r="L221" s="85"/>
      <c r="M221" s="85"/>
      <c r="N221" s="202"/>
      <c r="O221" s="203"/>
      <c r="P221" s="203"/>
      <c r="Q221" s="203"/>
      <c r="R221" s="203"/>
      <c r="S221" s="203"/>
      <c r="T221" s="203"/>
    </row>
    <row r="222" spans="1:20" s="596" customFormat="1" ht="18" customHeight="1">
      <c r="A222" s="720"/>
      <c r="B222" s="721"/>
      <c r="C222" s="206" t="s">
        <v>1592</v>
      </c>
      <c r="D222" s="685">
        <f>(7.5+5.6+3.4+1.2+2.9+33.6+68.1+50.2)</f>
        <v>172.5</v>
      </c>
      <c r="E222" s="679"/>
      <c r="F222" s="679"/>
      <c r="G222" s="680"/>
      <c r="H222" s="592"/>
      <c r="I222" s="592"/>
      <c r="J222" s="593"/>
      <c r="K222" s="593"/>
      <c r="L222" s="593"/>
      <c r="M222" s="593"/>
      <c r="N222" s="594"/>
      <c r="O222" s="595"/>
      <c r="P222" s="595"/>
      <c r="Q222" s="595"/>
      <c r="R222" s="595"/>
      <c r="S222" s="595"/>
      <c r="T222" s="595"/>
    </row>
    <row r="223" spans="1:20" s="271" customFormat="1" ht="22">
      <c r="A223" s="268" t="s">
        <v>1496</v>
      </c>
      <c r="B223" s="269" t="s">
        <v>146</v>
      </c>
      <c r="C223" s="270" t="s">
        <v>1113</v>
      </c>
      <c r="D223" s="269" t="s">
        <v>46</v>
      </c>
      <c r="E223" s="669">
        <f>E221*4</f>
        <v>690</v>
      </c>
      <c r="F223" s="669"/>
      <c r="G223" s="200">
        <f>E223*F223</f>
        <v>0</v>
      </c>
      <c r="H223" s="85">
        <v>0.011</v>
      </c>
      <c r="I223" s="201">
        <f>E223*H223</f>
        <v>7.59</v>
      </c>
      <c r="J223" s="85">
        <v>0</v>
      </c>
      <c r="K223" s="85">
        <f>E223*J223</f>
        <v>0</v>
      </c>
      <c r="L223" s="85"/>
      <c r="M223" s="85"/>
      <c r="N223" s="202"/>
      <c r="O223" s="203"/>
      <c r="P223" s="203"/>
      <c r="Q223" s="203"/>
      <c r="R223" s="203"/>
      <c r="S223" s="203"/>
      <c r="T223" s="203"/>
    </row>
    <row r="224" spans="1:20" s="244" customFormat="1" ht="21.75" customHeight="1">
      <c r="A224" s="268" t="s">
        <v>760</v>
      </c>
      <c r="B224" s="197" t="s">
        <v>142</v>
      </c>
      <c r="C224" s="294" t="s">
        <v>148</v>
      </c>
      <c r="D224" s="295" t="s">
        <v>73</v>
      </c>
      <c r="E224" s="404">
        <f>SUM(D225)</f>
        <v>1.07226</v>
      </c>
      <c r="F224" s="404"/>
      <c r="G224" s="200">
        <f>E224*F224</f>
        <v>0</v>
      </c>
      <c r="H224" s="242">
        <v>1.06277</v>
      </c>
      <c r="I224" s="242">
        <f>E224*H224</f>
        <v>1.1395657602</v>
      </c>
      <c r="J224" s="243">
        <v>0</v>
      </c>
      <c r="K224" s="243">
        <f>E224*J224</f>
        <v>0</v>
      </c>
      <c r="L224" s="243"/>
      <c r="M224" s="243"/>
      <c r="N224" s="405" t="s">
        <v>1685</v>
      </c>
      <c r="O224" s="406" t="s">
        <v>1689</v>
      </c>
      <c r="P224" s="406" t="s">
        <v>399</v>
      </c>
      <c r="Q224" s="406"/>
      <c r="R224" s="406"/>
      <c r="S224" s="406"/>
      <c r="T224" s="406"/>
    </row>
    <row r="225" spans="1:20" s="214" customFormat="1" ht="15" customHeight="1">
      <c r="A225" s="196"/>
      <c r="B225" s="205"/>
      <c r="C225" s="206" t="s">
        <v>1691</v>
      </c>
      <c r="D225" s="207">
        <f>172.5*5.18*1.2*0.001</f>
        <v>1.07226</v>
      </c>
      <c r="E225" s="208"/>
      <c r="F225" s="208"/>
      <c r="G225" s="209"/>
      <c r="H225" s="210"/>
      <c r="I225" s="210"/>
      <c r="J225" s="211"/>
      <c r="K225" s="85"/>
      <c r="L225" s="211"/>
      <c r="M225" s="211"/>
      <c r="N225" s="212"/>
      <c r="O225" s="213"/>
      <c r="P225" s="213"/>
      <c r="Q225" s="213"/>
      <c r="R225" s="213"/>
      <c r="S225" s="213"/>
      <c r="T225" s="213"/>
    </row>
    <row r="226" spans="1:20" s="271" customFormat="1" ht="12.75">
      <c r="A226" s="268"/>
      <c r="B226" s="269"/>
      <c r="C226" s="270"/>
      <c r="D226" s="269"/>
      <c r="E226" s="669"/>
      <c r="F226" s="669"/>
      <c r="G226" s="274"/>
      <c r="H226" s="85"/>
      <c r="I226" s="85"/>
      <c r="J226" s="85"/>
      <c r="K226" s="85"/>
      <c r="L226" s="85"/>
      <c r="M226" s="85"/>
      <c r="N226" s="202"/>
      <c r="O226" s="203"/>
      <c r="P226" s="203"/>
      <c r="Q226" s="203"/>
      <c r="R226" s="203"/>
      <c r="S226" s="203"/>
      <c r="T226" s="203"/>
    </row>
    <row r="227" spans="1:20" s="271" customFormat="1" ht="12.75">
      <c r="A227" s="268"/>
      <c r="B227" s="269"/>
      <c r="C227" s="270"/>
      <c r="D227" s="269"/>
      <c r="E227" s="669"/>
      <c r="F227" s="669"/>
      <c r="G227" s="274"/>
      <c r="H227" s="85"/>
      <c r="I227" s="85"/>
      <c r="J227" s="85"/>
      <c r="K227" s="85"/>
      <c r="L227" s="85"/>
      <c r="M227" s="85"/>
      <c r="N227" s="202"/>
      <c r="O227" s="203"/>
      <c r="P227" s="203"/>
      <c r="Q227" s="203"/>
      <c r="R227" s="203"/>
      <c r="S227" s="203"/>
      <c r="T227" s="203"/>
    </row>
    <row r="228" spans="1:20" s="267" customFormat="1" ht="27" customHeight="1">
      <c r="A228" s="280"/>
      <c r="B228" s="275"/>
      <c r="C228" s="281" t="s">
        <v>152</v>
      </c>
      <c r="D228" s="282"/>
      <c r="E228" s="283"/>
      <c r="F228" s="283"/>
      <c r="G228" s="284"/>
      <c r="H228" s="285"/>
      <c r="I228" s="285"/>
      <c r="J228" s="264"/>
      <c r="K228" s="264"/>
      <c r="L228" s="264"/>
      <c r="M228" s="264"/>
      <c r="N228" s="265"/>
      <c r="O228" s="266"/>
      <c r="P228" s="266"/>
      <c r="Q228" s="266"/>
      <c r="R228" s="266"/>
      <c r="S228" s="266"/>
      <c r="T228" s="266"/>
    </row>
    <row r="229" spans="1:20" s="271" customFormat="1" ht="27" customHeight="1">
      <c r="A229" s="268" t="s">
        <v>1657</v>
      </c>
      <c r="B229" s="674">
        <v>71311111</v>
      </c>
      <c r="C229" s="691" t="s">
        <v>1484</v>
      </c>
      <c r="D229" s="674" t="s">
        <v>46</v>
      </c>
      <c r="E229" s="669">
        <f>SUM(D230:D231)</f>
        <v>171.3</v>
      </c>
      <c r="F229" s="669"/>
      <c r="G229" s="200">
        <f>E229*F229</f>
        <v>0</v>
      </c>
      <c r="H229" s="85">
        <v>0</v>
      </c>
      <c r="I229" s="201">
        <f>E229*H229</f>
        <v>0</v>
      </c>
      <c r="J229" s="85">
        <v>0</v>
      </c>
      <c r="K229" s="85">
        <f>E229*J229</f>
        <v>0</v>
      </c>
      <c r="L229" s="85"/>
      <c r="M229" s="85"/>
      <c r="N229" s="202"/>
      <c r="O229" s="203"/>
      <c r="P229" s="203"/>
      <c r="Q229" s="203"/>
      <c r="R229" s="203"/>
      <c r="S229" s="203"/>
      <c r="T229" s="203"/>
    </row>
    <row r="230" spans="1:20" s="596" customFormat="1" ht="18" customHeight="1">
      <c r="A230" s="720"/>
      <c r="B230" s="721"/>
      <c r="C230" s="206" t="s">
        <v>1606</v>
      </c>
      <c r="D230" s="685">
        <f>(5.6+7.5+3.4+2.9+33.6)</f>
        <v>53</v>
      </c>
      <c r="E230" s="679"/>
      <c r="F230" s="679"/>
      <c r="G230" s="680"/>
      <c r="H230" s="592"/>
      <c r="I230" s="592"/>
      <c r="J230" s="593"/>
      <c r="K230" s="593"/>
      <c r="L230" s="593"/>
      <c r="M230" s="593"/>
      <c r="N230" s="594"/>
      <c r="O230" s="595"/>
      <c r="P230" s="595"/>
      <c r="Q230" s="595"/>
      <c r="R230" s="595"/>
      <c r="S230" s="595"/>
      <c r="T230" s="595"/>
    </row>
    <row r="231" spans="1:20" s="596" customFormat="1" ht="18" customHeight="1">
      <c r="A231" s="720"/>
      <c r="B231" s="757"/>
      <c r="C231" s="758" t="s">
        <v>1607</v>
      </c>
      <c r="D231" s="759">
        <f>(68.1+50.2)</f>
        <v>118.3</v>
      </c>
      <c r="E231" s="760"/>
      <c r="F231" s="760"/>
      <c r="G231" s="761"/>
      <c r="H231" s="592"/>
      <c r="I231" s="592"/>
      <c r="J231" s="593"/>
      <c r="K231" s="593"/>
      <c r="L231" s="593"/>
      <c r="M231" s="593"/>
      <c r="N231" s="594"/>
      <c r="O231" s="595"/>
      <c r="P231" s="595"/>
      <c r="Q231" s="595"/>
      <c r="R231" s="595"/>
      <c r="S231" s="595"/>
      <c r="T231" s="595"/>
    </row>
    <row r="232" spans="1:20" s="271" customFormat="1" ht="18" customHeight="1">
      <c r="A232" s="268" t="s">
        <v>1658</v>
      </c>
      <c r="B232" s="674">
        <v>63150823</v>
      </c>
      <c r="C232" s="691" t="s">
        <v>1596</v>
      </c>
      <c r="D232" s="674" t="s">
        <v>46</v>
      </c>
      <c r="E232" s="669">
        <f>SUM(D233)</f>
        <v>54.1</v>
      </c>
      <c r="F232" s="669"/>
      <c r="G232" s="200">
        <f>E232*F232</f>
        <v>0</v>
      </c>
      <c r="H232" s="85">
        <v>0.0008</v>
      </c>
      <c r="I232" s="201">
        <f>E232*H232</f>
        <v>0.043280000000000006</v>
      </c>
      <c r="J232" s="85">
        <v>0</v>
      </c>
      <c r="K232" s="85">
        <f>E232*J232</f>
        <v>0</v>
      </c>
      <c r="L232" s="85"/>
      <c r="M232" s="85"/>
      <c r="N232" s="202"/>
      <c r="O232" s="203"/>
      <c r="P232" s="203"/>
      <c r="Q232" s="203"/>
      <c r="R232" s="203"/>
      <c r="S232" s="203"/>
      <c r="T232" s="203"/>
    </row>
    <row r="233" spans="1:20" s="596" customFormat="1" ht="18" customHeight="1">
      <c r="A233" s="720"/>
      <c r="B233" s="721"/>
      <c r="C233" s="206" t="s">
        <v>1608</v>
      </c>
      <c r="D233" s="685">
        <f>(5.6+7.5+3.4+2.9+33.6)*1.02+0.04</f>
        <v>54.1</v>
      </c>
      <c r="E233" s="679"/>
      <c r="F233" s="679"/>
      <c r="G233" s="680"/>
      <c r="H233" s="592"/>
      <c r="I233" s="592"/>
      <c r="J233" s="593"/>
      <c r="K233" s="593"/>
      <c r="L233" s="593"/>
      <c r="M233" s="593"/>
      <c r="N233" s="594"/>
      <c r="O233" s="595"/>
      <c r="P233" s="595"/>
      <c r="Q233" s="595"/>
      <c r="R233" s="595"/>
      <c r="S233" s="595"/>
      <c r="T233" s="595"/>
    </row>
    <row r="234" spans="1:20" s="271" customFormat="1" ht="33.75" customHeight="1">
      <c r="A234" s="268" t="s">
        <v>1659</v>
      </c>
      <c r="B234" s="674">
        <v>63150930</v>
      </c>
      <c r="C234" s="691" t="s">
        <v>1597</v>
      </c>
      <c r="D234" s="674" t="s">
        <v>46</v>
      </c>
      <c r="E234" s="669">
        <f>SUM(D235)</f>
        <v>130.1</v>
      </c>
      <c r="F234" s="669"/>
      <c r="G234" s="200">
        <f>E234*F234</f>
        <v>0</v>
      </c>
      <c r="H234" s="85">
        <v>0.00114</v>
      </c>
      <c r="I234" s="201">
        <f>E234*H234</f>
        <v>0.148314</v>
      </c>
      <c r="J234" s="85">
        <v>0</v>
      </c>
      <c r="K234" s="85">
        <f>E234*J234</f>
        <v>0</v>
      </c>
      <c r="L234" s="85"/>
      <c r="M234" s="85"/>
      <c r="N234" s="202"/>
      <c r="O234" s="203"/>
      <c r="P234" s="203"/>
      <c r="Q234" s="203"/>
      <c r="R234" s="203"/>
      <c r="S234" s="203"/>
      <c r="T234" s="203"/>
    </row>
    <row r="235" spans="1:20" s="596" customFormat="1" ht="18" customHeight="1">
      <c r="A235" s="720"/>
      <c r="B235" s="757"/>
      <c r="C235" s="758" t="s">
        <v>1609</v>
      </c>
      <c r="D235" s="759">
        <f>(68.1+50.2)*1.1-0.03</f>
        <v>130.1</v>
      </c>
      <c r="E235" s="760"/>
      <c r="F235" s="760"/>
      <c r="G235" s="761"/>
      <c r="H235" s="592"/>
      <c r="I235" s="592"/>
      <c r="J235" s="593"/>
      <c r="K235" s="593"/>
      <c r="L235" s="593"/>
      <c r="M235" s="593"/>
      <c r="N235" s="594"/>
      <c r="O235" s="595"/>
      <c r="P235" s="595"/>
      <c r="Q235" s="595"/>
      <c r="R235" s="595"/>
      <c r="S235" s="595"/>
      <c r="T235" s="595"/>
    </row>
    <row r="236" spans="1:20" s="271" customFormat="1" ht="18" customHeight="1">
      <c r="A236" s="268" t="s">
        <v>1660</v>
      </c>
      <c r="B236" s="674">
        <v>713291132</v>
      </c>
      <c r="C236" s="691" t="s">
        <v>1486</v>
      </c>
      <c r="D236" s="674" t="s">
        <v>46</v>
      </c>
      <c r="E236" s="669">
        <f>SUM(D237)</f>
        <v>14.4</v>
      </c>
      <c r="F236" s="669"/>
      <c r="G236" s="200">
        <f>E236*F236</f>
        <v>0</v>
      </c>
      <c r="H236" s="85">
        <v>0</v>
      </c>
      <c r="I236" s="201">
        <f>E236*H236</f>
        <v>0</v>
      </c>
      <c r="J236" s="85">
        <v>0</v>
      </c>
      <c r="K236" s="85">
        <f>E236*J236</f>
        <v>0</v>
      </c>
      <c r="L236" s="85"/>
      <c r="M236" s="85"/>
      <c r="N236" s="202"/>
      <c r="O236" s="203"/>
      <c r="P236" s="203"/>
      <c r="Q236" s="203"/>
      <c r="R236" s="203"/>
      <c r="S236" s="203"/>
      <c r="T236" s="203"/>
    </row>
    <row r="237" spans="1:20" s="596" customFormat="1" ht="18" customHeight="1">
      <c r="A237" s="720"/>
      <c r="B237" s="721"/>
      <c r="C237" s="206" t="s">
        <v>1603</v>
      </c>
      <c r="D237" s="685">
        <f>(5.6+7.5)*1.1-0.01</f>
        <v>14.4</v>
      </c>
      <c r="E237" s="679"/>
      <c r="F237" s="679"/>
      <c r="G237" s="680"/>
      <c r="H237" s="592"/>
      <c r="I237" s="592"/>
      <c r="J237" s="593"/>
      <c r="K237" s="593"/>
      <c r="L237" s="593"/>
      <c r="M237" s="593"/>
      <c r="N237" s="594"/>
      <c r="O237" s="595"/>
      <c r="P237" s="595"/>
      <c r="Q237" s="595"/>
      <c r="R237" s="595"/>
      <c r="S237" s="595"/>
      <c r="T237" s="595"/>
    </row>
    <row r="238" spans="1:20" s="271" customFormat="1" ht="30" customHeight="1">
      <c r="A238" s="268" t="s">
        <v>1661</v>
      </c>
      <c r="B238" s="674" t="s">
        <v>1601</v>
      </c>
      <c r="C238" s="691" t="s">
        <v>1602</v>
      </c>
      <c r="D238" s="674" t="s">
        <v>46</v>
      </c>
      <c r="E238" s="669">
        <f>SUM(D239)</f>
        <v>174</v>
      </c>
      <c r="F238" s="669"/>
      <c r="G238" s="200">
        <f>E238*F238</f>
        <v>0</v>
      </c>
      <c r="H238" s="85">
        <v>0</v>
      </c>
      <c r="I238" s="201">
        <f>E238*H238</f>
        <v>0</v>
      </c>
      <c r="J238" s="85">
        <v>0</v>
      </c>
      <c r="K238" s="85">
        <f>E238*J238</f>
        <v>0</v>
      </c>
      <c r="L238" s="85"/>
      <c r="M238" s="85"/>
      <c r="N238" s="202"/>
      <c r="O238" s="203"/>
      <c r="P238" s="203"/>
      <c r="Q238" s="203"/>
      <c r="R238" s="203"/>
      <c r="S238" s="203"/>
      <c r="T238" s="203"/>
    </row>
    <row r="239" spans="1:20" s="596" customFormat="1" ht="18" customHeight="1">
      <c r="A239" s="720"/>
      <c r="B239" s="757"/>
      <c r="C239" s="758" t="s">
        <v>1604</v>
      </c>
      <c r="D239" s="759">
        <f>(3.4+2.9+33.6+68.1+50.2)*1.1-0.02</f>
        <v>174</v>
      </c>
      <c r="E239" s="760"/>
      <c r="F239" s="760"/>
      <c r="G239" s="761"/>
      <c r="H239" s="592"/>
      <c r="I239" s="592"/>
      <c r="J239" s="593"/>
      <c r="K239" s="593"/>
      <c r="L239" s="593"/>
      <c r="M239" s="593"/>
      <c r="N239" s="594"/>
      <c r="O239" s="595"/>
      <c r="P239" s="595"/>
      <c r="Q239" s="595"/>
      <c r="R239" s="595"/>
      <c r="S239" s="595"/>
      <c r="T239" s="595"/>
    </row>
    <row r="240" spans="1:20" s="271" customFormat="1" ht="18" customHeight="1">
      <c r="A240" s="268" t="s">
        <v>1662</v>
      </c>
      <c r="B240" s="674">
        <v>28329012</v>
      </c>
      <c r="C240" s="691" t="s">
        <v>1487</v>
      </c>
      <c r="D240" s="674" t="s">
        <v>46</v>
      </c>
      <c r="E240" s="669">
        <f>SUM(D241)</f>
        <v>196.995</v>
      </c>
      <c r="F240" s="669"/>
      <c r="G240" s="200">
        <f>E240*F240</f>
        <v>0</v>
      </c>
      <c r="H240" s="85">
        <v>0.00014</v>
      </c>
      <c r="I240" s="201">
        <f>E240*H240</f>
        <v>0.027579299999999998</v>
      </c>
      <c r="J240" s="85">
        <v>0</v>
      </c>
      <c r="K240" s="85">
        <f>E240*J240</f>
        <v>0</v>
      </c>
      <c r="L240" s="85"/>
      <c r="M240" s="85"/>
      <c r="N240" s="202"/>
      <c r="O240" s="203"/>
      <c r="P240" s="203"/>
      <c r="Q240" s="203"/>
      <c r="R240" s="203"/>
      <c r="S240" s="203"/>
      <c r="T240" s="203"/>
    </row>
    <row r="241" spans="1:20" s="596" customFormat="1" ht="18" customHeight="1">
      <c r="A241" s="720"/>
      <c r="B241" s="721"/>
      <c r="C241" s="206" t="s">
        <v>1605</v>
      </c>
      <c r="D241" s="685">
        <f>(5.6+7.5+3.4+2.9+33.6+68.1+50.2)*1.15</f>
        <v>196.995</v>
      </c>
      <c r="E241" s="679"/>
      <c r="F241" s="679"/>
      <c r="G241" s="680"/>
      <c r="H241" s="592"/>
      <c r="I241" s="592"/>
      <c r="J241" s="593"/>
      <c r="K241" s="593"/>
      <c r="L241" s="593"/>
      <c r="M241" s="593"/>
      <c r="N241" s="594"/>
      <c r="O241" s="595"/>
      <c r="P241" s="595"/>
      <c r="Q241" s="595"/>
      <c r="R241" s="595"/>
      <c r="S241" s="595"/>
      <c r="T241" s="595"/>
    </row>
    <row r="242" spans="1:20" s="271" customFormat="1" ht="12.75">
      <c r="A242" s="690"/>
      <c r="B242" s="674"/>
      <c r="C242" s="691"/>
      <c r="D242" s="674"/>
      <c r="E242" s="669"/>
      <c r="F242" s="669"/>
      <c r="G242" s="692"/>
      <c r="H242" s="85"/>
      <c r="I242" s="85"/>
      <c r="J242" s="85"/>
      <c r="K242" s="85"/>
      <c r="L242" s="85"/>
      <c r="M242" s="85"/>
      <c r="N242" s="202"/>
      <c r="O242" s="203"/>
      <c r="P242" s="203"/>
      <c r="Q242" s="203"/>
      <c r="R242" s="203"/>
      <c r="S242" s="203"/>
      <c r="T242" s="203"/>
    </row>
    <row r="243" spans="1:20" s="271" customFormat="1" ht="31.5" customHeight="1">
      <c r="A243" s="268" t="s">
        <v>1663</v>
      </c>
      <c r="B243" s="674" t="s">
        <v>1483</v>
      </c>
      <c r="C243" s="691" t="s">
        <v>1488</v>
      </c>
      <c r="D243" s="674" t="s">
        <v>46</v>
      </c>
      <c r="E243" s="669">
        <f>SUM(D244)</f>
        <v>53</v>
      </c>
      <c r="F243" s="669"/>
      <c r="G243" s="200">
        <f>E243*F243</f>
        <v>0</v>
      </c>
      <c r="H243" s="85">
        <v>0.01259</v>
      </c>
      <c r="I243" s="201">
        <f>E243*H243</f>
        <v>0.66727</v>
      </c>
      <c r="J243" s="85">
        <v>0</v>
      </c>
      <c r="K243" s="85">
        <f>E243*J243</f>
        <v>0</v>
      </c>
      <c r="L243" s="85"/>
      <c r="M243" s="85"/>
      <c r="N243" s="202"/>
      <c r="O243" s="203"/>
      <c r="P243" s="203"/>
      <c r="Q243" s="203"/>
      <c r="R243" s="203"/>
      <c r="S243" s="203"/>
      <c r="T243" s="203"/>
    </row>
    <row r="244" spans="1:20" s="596" customFormat="1" ht="18" customHeight="1">
      <c r="A244" s="720"/>
      <c r="B244" s="721"/>
      <c r="C244" s="206" t="s">
        <v>1610</v>
      </c>
      <c r="D244" s="685">
        <f>5.6+7.5+3.4+2.9+33.6</f>
        <v>53</v>
      </c>
      <c r="E244" s="679"/>
      <c r="F244" s="679"/>
      <c r="G244" s="680"/>
      <c r="H244" s="592"/>
      <c r="I244" s="592"/>
      <c r="J244" s="593"/>
      <c r="K244" s="593"/>
      <c r="L244" s="593"/>
      <c r="M244" s="593"/>
      <c r="N244" s="594"/>
      <c r="O244" s="595"/>
      <c r="P244" s="595"/>
      <c r="Q244" s="595"/>
      <c r="R244" s="595"/>
      <c r="S244" s="595"/>
      <c r="T244" s="595"/>
    </row>
    <row r="245" spans="1:20" s="271" customFormat="1" ht="30" customHeight="1">
      <c r="A245" s="961" t="s">
        <v>1664</v>
      </c>
      <c r="B245" s="957" t="s">
        <v>2340</v>
      </c>
      <c r="C245" s="956" t="s">
        <v>2329</v>
      </c>
      <c r="D245" s="957" t="s">
        <v>175</v>
      </c>
      <c r="E245" s="958">
        <v>1</v>
      </c>
      <c r="F245" s="958"/>
      <c r="G245" s="200">
        <f>E245*F245</f>
        <v>0</v>
      </c>
      <c r="H245" s="85">
        <v>0</v>
      </c>
      <c r="I245" s="201">
        <f>E245*H245</f>
        <v>0</v>
      </c>
      <c r="J245" s="85">
        <v>0</v>
      </c>
      <c r="K245" s="85">
        <f aca="true" t="shared" si="5" ref="K245:K246">E245*J245</f>
        <v>0</v>
      </c>
      <c r="L245" s="85"/>
      <c r="M245" s="85"/>
      <c r="N245" s="202"/>
      <c r="O245" s="203"/>
      <c r="P245" s="203"/>
      <c r="Q245" s="203"/>
      <c r="R245" s="203"/>
      <c r="S245" s="203"/>
      <c r="T245" s="203"/>
    </row>
    <row r="246" spans="1:20" s="271" customFormat="1" ht="19.5" customHeight="1">
      <c r="A246" s="961" t="s">
        <v>1665</v>
      </c>
      <c r="B246" s="957" t="s">
        <v>2338</v>
      </c>
      <c r="C246" s="956" t="s">
        <v>2330</v>
      </c>
      <c r="D246" s="957" t="s">
        <v>175</v>
      </c>
      <c r="E246" s="958">
        <v>1</v>
      </c>
      <c r="F246" s="958"/>
      <c r="G246" s="200">
        <f>E246*F246</f>
        <v>0</v>
      </c>
      <c r="H246" s="85">
        <v>0.001</v>
      </c>
      <c r="I246" s="201">
        <f>E246*H246</f>
        <v>0.001</v>
      </c>
      <c r="J246" s="85">
        <v>0</v>
      </c>
      <c r="K246" s="85">
        <f t="shared" si="5"/>
        <v>0</v>
      </c>
      <c r="L246" s="85"/>
      <c r="M246" s="85"/>
      <c r="N246" s="202"/>
      <c r="O246" s="203"/>
      <c r="P246" s="203"/>
      <c r="Q246" s="203"/>
      <c r="R246" s="203"/>
      <c r="S246" s="203"/>
      <c r="T246" s="203"/>
    </row>
    <row r="247" spans="1:20" s="271" customFormat="1" ht="13">
      <c r="A247" s="961"/>
      <c r="B247" s="957"/>
      <c r="C247" s="956"/>
      <c r="D247" s="957"/>
      <c r="E247" s="958"/>
      <c r="F247" s="958"/>
      <c r="G247" s="959"/>
      <c r="H247" s="85"/>
      <c r="I247" s="201"/>
      <c r="J247" s="85"/>
      <c r="K247" s="85"/>
      <c r="L247" s="85"/>
      <c r="M247" s="85"/>
      <c r="N247" s="202"/>
      <c r="O247" s="203"/>
      <c r="P247" s="203"/>
      <c r="Q247" s="203"/>
      <c r="R247" s="203"/>
      <c r="S247" s="203"/>
      <c r="T247" s="203"/>
    </row>
    <row r="248" spans="1:20" s="271" customFormat="1" ht="29.25" customHeight="1">
      <c r="A248" s="961" t="s">
        <v>1686</v>
      </c>
      <c r="B248" s="957">
        <v>763172353</v>
      </c>
      <c r="C248" s="956" t="s">
        <v>2331</v>
      </c>
      <c r="D248" s="957" t="s">
        <v>175</v>
      </c>
      <c r="E248" s="958">
        <v>3</v>
      </c>
      <c r="F248" s="958"/>
      <c r="G248" s="200">
        <f aca="true" t="shared" si="6" ref="G248:G249">E248*F248</f>
        <v>0</v>
      </c>
      <c r="H248" s="85">
        <v>0</v>
      </c>
      <c r="I248" s="201">
        <f>E248*H248</f>
        <v>0</v>
      </c>
      <c r="J248" s="85">
        <v>0</v>
      </c>
      <c r="K248" s="85">
        <f>E248*J248</f>
        <v>0</v>
      </c>
      <c r="L248" s="85"/>
      <c r="M248" s="85"/>
      <c r="N248" s="202"/>
      <c r="O248" s="203"/>
      <c r="P248" s="203"/>
      <c r="Q248" s="203"/>
      <c r="R248" s="203"/>
      <c r="S248" s="203"/>
      <c r="T248" s="203"/>
    </row>
    <row r="249" spans="1:20" s="271" customFormat="1" ht="19.5" customHeight="1">
      <c r="A249" s="961" t="s">
        <v>1687</v>
      </c>
      <c r="B249" s="957" t="s">
        <v>2339</v>
      </c>
      <c r="C249" s="956" t="s">
        <v>2332</v>
      </c>
      <c r="D249" s="957" t="s">
        <v>175</v>
      </c>
      <c r="E249" s="958">
        <v>3</v>
      </c>
      <c r="F249" s="958"/>
      <c r="G249" s="200">
        <f t="shared" si="6"/>
        <v>0</v>
      </c>
      <c r="H249" s="85">
        <v>0.002</v>
      </c>
      <c r="I249" s="201">
        <f>E249*H249</f>
        <v>0.006</v>
      </c>
      <c r="J249" s="85">
        <v>0</v>
      </c>
      <c r="K249" s="85">
        <f>E249*J249</f>
        <v>0</v>
      </c>
      <c r="L249" s="85"/>
      <c r="M249" s="85"/>
      <c r="N249" s="202"/>
      <c r="O249" s="203"/>
      <c r="P249" s="203"/>
      <c r="Q249" s="203"/>
      <c r="R249" s="203"/>
      <c r="S249" s="203"/>
      <c r="T249" s="203"/>
    </row>
    <row r="250" spans="1:20" s="271" customFormat="1" ht="12.75">
      <c r="A250" s="690"/>
      <c r="B250" s="674"/>
      <c r="C250" s="691"/>
      <c r="D250" s="674"/>
      <c r="E250" s="669"/>
      <c r="F250" s="669"/>
      <c r="G250" s="692"/>
      <c r="H250" s="85"/>
      <c r="I250" s="85"/>
      <c r="J250" s="85"/>
      <c r="K250" s="85"/>
      <c r="L250" s="85"/>
      <c r="M250" s="85"/>
      <c r="N250" s="202"/>
      <c r="O250" s="203"/>
      <c r="P250" s="203"/>
      <c r="Q250" s="203"/>
      <c r="R250" s="203"/>
      <c r="S250" s="203"/>
      <c r="T250" s="203"/>
    </row>
    <row r="251" spans="1:20" s="271" customFormat="1" ht="29.25" customHeight="1">
      <c r="A251" s="961" t="s">
        <v>1688</v>
      </c>
      <c r="B251" s="957">
        <v>763172354</v>
      </c>
      <c r="C251" s="956" t="s">
        <v>2349</v>
      </c>
      <c r="D251" s="957" t="s">
        <v>175</v>
      </c>
      <c r="E251" s="958">
        <v>1</v>
      </c>
      <c r="F251" s="958"/>
      <c r="G251" s="200">
        <f aca="true" t="shared" si="7" ref="G251:G252">E251*F251</f>
        <v>0</v>
      </c>
      <c r="H251" s="85">
        <v>0</v>
      </c>
      <c r="I251" s="201">
        <f>E251*H251</f>
        <v>0</v>
      </c>
      <c r="J251" s="85">
        <v>0</v>
      </c>
      <c r="K251" s="85">
        <f>E251*J251</f>
        <v>0</v>
      </c>
      <c r="L251" s="85"/>
      <c r="M251" s="85"/>
      <c r="N251" s="202"/>
      <c r="O251" s="203"/>
      <c r="P251" s="203"/>
      <c r="Q251" s="203"/>
      <c r="R251" s="203"/>
      <c r="S251" s="203"/>
      <c r="T251" s="203"/>
    </row>
    <row r="252" spans="1:20" s="271" customFormat="1" ht="19.5" customHeight="1">
      <c r="A252" s="961" t="s">
        <v>1831</v>
      </c>
      <c r="B252" s="957">
        <v>59030713</v>
      </c>
      <c r="C252" s="956" t="s">
        <v>2406</v>
      </c>
      <c r="D252" s="957" t="s">
        <v>175</v>
      </c>
      <c r="E252" s="958">
        <v>1</v>
      </c>
      <c r="F252" s="958"/>
      <c r="G252" s="200">
        <f t="shared" si="7"/>
        <v>0</v>
      </c>
      <c r="H252" s="85">
        <v>0.0032</v>
      </c>
      <c r="I252" s="201">
        <f>E252*H252</f>
        <v>0.0032</v>
      </c>
      <c r="J252" s="85">
        <v>0</v>
      </c>
      <c r="K252" s="85">
        <f>E252*J252</f>
        <v>0</v>
      </c>
      <c r="L252" s="85"/>
      <c r="M252" s="85"/>
      <c r="N252" s="202"/>
      <c r="O252" s="203"/>
      <c r="P252" s="203"/>
      <c r="Q252" s="203"/>
      <c r="R252" s="203"/>
      <c r="S252" s="203"/>
      <c r="T252" s="203"/>
    </row>
    <row r="253" spans="1:20" s="271" customFormat="1" ht="12.75">
      <c r="A253" s="690"/>
      <c r="B253" s="674"/>
      <c r="C253" s="691"/>
      <c r="D253" s="674"/>
      <c r="E253" s="669"/>
      <c r="F253" s="669"/>
      <c r="G253" s="692"/>
      <c r="H253" s="85"/>
      <c r="I253" s="85"/>
      <c r="J253" s="85"/>
      <c r="K253" s="85"/>
      <c r="L253" s="85"/>
      <c r="M253" s="85"/>
      <c r="N253" s="202"/>
      <c r="O253" s="203"/>
      <c r="P253" s="203"/>
      <c r="Q253" s="203"/>
      <c r="R253" s="203"/>
      <c r="S253" s="203"/>
      <c r="T253" s="203"/>
    </row>
    <row r="254" spans="1:20" s="596" customFormat="1" ht="18" customHeight="1">
      <c r="A254" s="690"/>
      <c r="B254" s="757"/>
      <c r="C254" s="762" t="s">
        <v>1600</v>
      </c>
      <c r="D254" s="759"/>
      <c r="E254" s="760"/>
      <c r="F254" s="760"/>
      <c r="G254" s="761"/>
      <c r="H254" s="592"/>
      <c r="I254" s="592"/>
      <c r="J254" s="593"/>
      <c r="K254" s="593"/>
      <c r="L254" s="593"/>
      <c r="M254" s="593"/>
      <c r="N254" s="594"/>
      <c r="O254" s="595"/>
      <c r="P254" s="595"/>
      <c r="Q254" s="595"/>
      <c r="R254" s="595"/>
      <c r="S254" s="595"/>
      <c r="T254" s="595"/>
    </row>
    <row r="255" spans="1:20" s="271" customFormat="1" ht="22">
      <c r="A255" s="268" t="s">
        <v>1852</v>
      </c>
      <c r="B255" s="763" t="s">
        <v>1599</v>
      </c>
      <c r="C255" s="764" t="s">
        <v>1806</v>
      </c>
      <c r="D255" s="763" t="s">
        <v>46</v>
      </c>
      <c r="E255" s="739">
        <v>50.9</v>
      </c>
      <c r="F255" s="739"/>
      <c r="G255" s="200">
        <f>E255*F255</f>
        <v>0</v>
      </c>
      <c r="H255" s="85">
        <v>0.0122</v>
      </c>
      <c r="I255" s="201">
        <f>E255*H255</f>
        <v>0.62098</v>
      </c>
      <c r="J255" s="85">
        <v>0</v>
      </c>
      <c r="K255" s="85">
        <f>E255*J255</f>
        <v>0</v>
      </c>
      <c r="L255" s="85"/>
      <c r="M255" s="85"/>
      <c r="N255" s="202"/>
      <c r="O255" s="203"/>
      <c r="P255" s="203"/>
      <c r="Q255" s="203"/>
      <c r="R255" s="203"/>
      <c r="S255" s="203"/>
      <c r="T255" s="203"/>
    </row>
    <row r="256" spans="1:20" s="596" customFormat="1" ht="18" customHeight="1">
      <c r="A256" s="268"/>
      <c r="B256" s="721"/>
      <c r="C256" s="206"/>
      <c r="D256" s="685"/>
      <c r="E256" s="679"/>
      <c r="F256" s="679"/>
      <c r="G256" s="680"/>
      <c r="H256" s="592"/>
      <c r="I256" s="592"/>
      <c r="J256" s="593"/>
      <c r="K256" s="593"/>
      <c r="L256" s="593"/>
      <c r="M256" s="593"/>
      <c r="N256" s="594"/>
      <c r="O256" s="595"/>
      <c r="P256" s="595"/>
      <c r="Q256" s="595"/>
      <c r="R256" s="595"/>
      <c r="S256" s="595"/>
      <c r="T256" s="595"/>
    </row>
    <row r="257" spans="1:20" s="271" customFormat="1" ht="31.5" customHeight="1">
      <c r="A257" s="268" t="s">
        <v>1853</v>
      </c>
      <c r="B257" s="674" t="s">
        <v>1598</v>
      </c>
      <c r="C257" s="691" t="s">
        <v>1807</v>
      </c>
      <c r="D257" s="674" t="s">
        <v>46</v>
      </c>
      <c r="E257" s="669">
        <v>72.9</v>
      </c>
      <c r="F257" s="669"/>
      <c r="G257" s="200">
        <f>E257*F257</f>
        <v>0</v>
      </c>
      <c r="H257" s="85">
        <v>0.015</v>
      </c>
      <c r="I257" s="201">
        <f>E257*H257</f>
        <v>1.0935000000000001</v>
      </c>
      <c r="J257" s="85">
        <v>0</v>
      </c>
      <c r="K257" s="85">
        <f>E257*J257</f>
        <v>0</v>
      </c>
      <c r="L257" s="85"/>
      <c r="M257" s="85"/>
      <c r="N257" s="202"/>
      <c r="O257" s="203"/>
      <c r="P257" s="203"/>
      <c r="Q257" s="203"/>
      <c r="R257" s="203"/>
      <c r="S257" s="203"/>
      <c r="T257" s="203"/>
    </row>
    <row r="258" spans="1:12" s="251" customFormat="1" ht="20.25" customHeight="1">
      <c r="A258" s="268"/>
      <c r="B258" s="205"/>
      <c r="C258" s="245"/>
      <c r="D258" s="246"/>
      <c r="E258" s="419"/>
      <c r="F258" s="419"/>
      <c r="G258" s="248"/>
      <c r="H258" s="249"/>
      <c r="I258" s="250"/>
      <c r="J258" s="250"/>
      <c r="K258" s="250"/>
      <c r="L258" s="250"/>
    </row>
    <row r="259" spans="1:20" s="732" customFormat="1" ht="18.75" customHeight="1">
      <c r="A259" s="272"/>
      <c r="B259" s="462" t="s">
        <v>1611</v>
      </c>
      <c r="C259" s="583" t="s">
        <v>1825</v>
      </c>
      <c r="D259" s="269"/>
      <c r="E259" s="740"/>
      <c r="F259" s="740"/>
      <c r="G259" s="741"/>
      <c r="H259" s="411"/>
      <c r="I259" s="411"/>
      <c r="J259" s="411"/>
      <c r="K259" s="411"/>
      <c r="L259" s="411"/>
      <c r="M259" s="411"/>
      <c r="N259" s="730"/>
      <c r="O259" s="731"/>
      <c r="P259" s="731"/>
      <c r="Q259" s="731"/>
      <c r="R259" s="731"/>
      <c r="S259" s="731"/>
      <c r="T259" s="731"/>
    </row>
    <row r="260" spans="1:20" s="271" customFormat="1" ht="20.25" customHeight="1">
      <c r="A260" s="268" t="s">
        <v>1854</v>
      </c>
      <c r="B260" s="674">
        <v>612181001</v>
      </c>
      <c r="C260" s="691" t="s">
        <v>262</v>
      </c>
      <c r="D260" s="674" t="s">
        <v>46</v>
      </c>
      <c r="E260" s="669">
        <f>SUM(D261)</f>
        <v>41.3</v>
      </c>
      <c r="F260" s="669"/>
      <c r="G260" s="200">
        <f>E260*F260</f>
        <v>0</v>
      </c>
      <c r="H260" s="85">
        <v>0.00391</v>
      </c>
      <c r="I260" s="201">
        <f>E260*H260</f>
        <v>0.161483</v>
      </c>
      <c r="J260" s="85">
        <v>0</v>
      </c>
      <c r="K260" s="85">
        <f>E260*J260</f>
        <v>0</v>
      </c>
      <c r="L260" s="85"/>
      <c r="M260" s="85"/>
      <c r="N260" s="202"/>
      <c r="O260" s="203"/>
      <c r="P260" s="203"/>
      <c r="Q260" s="203"/>
      <c r="R260" s="203"/>
      <c r="S260" s="203"/>
      <c r="T260" s="203"/>
    </row>
    <row r="261" spans="1:20" s="596" customFormat="1" ht="19.5" customHeight="1">
      <c r="A261" s="683"/>
      <c r="B261" s="681" t="s">
        <v>1619</v>
      </c>
      <c r="C261" s="678" t="s">
        <v>1616</v>
      </c>
      <c r="D261" s="685">
        <f>(6.3+6.4+6+4.2+4.6)*1.5+0.05</f>
        <v>41.3</v>
      </c>
      <c r="E261" s="679"/>
      <c r="F261" s="679"/>
      <c r="G261" s="680"/>
      <c r="H261" s="592"/>
      <c r="I261" s="592"/>
      <c r="J261" s="593"/>
      <c r="K261" s="593"/>
      <c r="L261" s="593"/>
      <c r="M261" s="593"/>
      <c r="N261" s="594"/>
      <c r="O261" s="595"/>
      <c r="P261" s="595"/>
      <c r="Q261" s="595"/>
      <c r="R261" s="595"/>
      <c r="S261" s="595"/>
      <c r="T261" s="595"/>
    </row>
    <row r="262" spans="1:20" s="204" customFormat="1" ht="24" customHeight="1">
      <c r="A262" s="268" t="s">
        <v>1855</v>
      </c>
      <c r="B262" s="197" t="s">
        <v>1411</v>
      </c>
      <c r="C262" s="136" t="s">
        <v>1617</v>
      </c>
      <c r="D262" s="198" t="s">
        <v>46</v>
      </c>
      <c r="E262" s="199">
        <f>E260</f>
        <v>41.3</v>
      </c>
      <c r="F262" s="199"/>
      <c r="G262" s="200">
        <f>E262*F262</f>
        <v>0</v>
      </c>
      <c r="H262" s="201">
        <v>0</v>
      </c>
      <c r="I262" s="201">
        <f>E262*H262</f>
        <v>0</v>
      </c>
      <c r="J262" s="85">
        <v>0</v>
      </c>
      <c r="K262" s="85">
        <f>E262*J262</f>
        <v>0</v>
      </c>
      <c r="L262" s="85"/>
      <c r="M262" s="85"/>
      <c r="N262" s="202"/>
      <c r="O262" s="203"/>
      <c r="P262" s="203"/>
      <c r="Q262" s="203"/>
      <c r="R262" s="203"/>
      <c r="S262" s="203"/>
      <c r="T262" s="203"/>
    </row>
    <row r="263" spans="1:20" s="204" customFormat="1" ht="21" customHeight="1">
      <c r="A263" s="268" t="s">
        <v>2408</v>
      </c>
      <c r="B263" s="197" t="s">
        <v>1419</v>
      </c>
      <c r="C263" s="136" t="s">
        <v>1420</v>
      </c>
      <c r="D263" s="198" t="s">
        <v>181</v>
      </c>
      <c r="E263" s="199">
        <f>E262*0.127</f>
        <v>5.2451</v>
      </c>
      <c r="F263" s="199"/>
      <c r="G263" s="200">
        <f>E263*F263</f>
        <v>0</v>
      </c>
      <c r="H263" s="201">
        <v>0</v>
      </c>
      <c r="I263" s="201">
        <f>E263*H263</f>
        <v>0</v>
      </c>
      <c r="J263" s="85">
        <v>0</v>
      </c>
      <c r="K263" s="85">
        <f>E263*J263</f>
        <v>0</v>
      </c>
      <c r="L263" s="85"/>
      <c r="M263" s="85"/>
      <c r="N263" s="202"/>
      <c r="O263" s="203"/>
      <c r="P263" s="203"/>
      <c r="Q263" s="203"/>
      <c r="R263" s="203"/>
      <c r="S263" s="203"/>
      <c r="T263" s="203"/>
    </row>
    <row r="264" spans="1:20" s="204" customFormat="1" ht="21" customHeight="1">
      <c r="A264" s="268" t="s">
        <v>2409</v>
      </c>
      <c r="B264" s="197" t="s">
        <v>1614</v>
      </c>
      <c r="C264" s="136" t="s">
        <v>1613</v>
      </c>
      <c r="D264" s="198" t="s">
        <v>46</v>
      </c>
      <c r="E264" s="199">
        <f>E260</f>
        <v>41.3</v>
      </c>
      <c r="F264" s="199"/>
      <c r="G264" s="200">
        <f>E264*F264</f>
        <v>0</v>
      </c>
      <c r="H264" s="201"/>
      <c r="I264" s="201"/>
      <c r="J264" s="85"/>
      <c r="K264" s="85"/>
      <c r="L264" s="85"/>
      <c r="M264" s="85"/>
      <c r="N264" s="202"/>
      <c r="O264" s="203"/>
      <c r="P264" s="203"/>
      <c r="Q264" s="203"/>
      <c r="R264" s="203"/>
      <c r="S264" s="203"/>
      <c r="T264" s="203"/>
    </row>
    <row r="265" spans="1:20" s="204" customFormat="1" ht="21" customHeight="1">
      <c r="A265" s="268" t="s">
        <v>2410</v>
      </c>
      <c r="B265" s="197" t="s">
        <v>1615</v>
      </c>
      <c r="C265" s="136" t="s">
        <v>1612</v>
      </c>
      <c r="D265" s="198" t="s">
        <v>309</v>
      </c>
      <c r="E265" s="199">
        <f>SUM(D266)</f>
        <v>28.995</v>
      </c>
      <c r="F265" s="199"/>
      <c r="G265" s="200">
        <f>E265*F265</f>
        <v>0</v>
      </c>
      <c r="H265" s="201">
        <f>0.5/833</f>
        <v>0.0006002400960384153</v>
      </c>
      <c r="I265" s="201">
        <f>E265*H265</f>
        <v>0.017403961584633854</v>
      </c>
      <c r="J265" s="85">
        <v>0</v>
      </c>
      <c r="K265" s="85">
        <f>E265*J265</f>
        <v>0</v>
      </c>
      <c r="L265" s="85"/>
      <c r="M265" s="85"/>
      <c r="N265" s="202"/>
      <c r="O265" s="203"/>
      <c r="P265" s="203"/>
      <c r="Q265" s="203"/>
      <c r="R265" s="203"/>
      <c r="S265" s="203"/>
      <c r="T265" s="203"/>
    </row>
    <row r="266" spans="1:12" s="251" customFormat="1" ht="20.25" customHeight="1">
      <c r="A266" s="196"/>
      <c r="B266" s="205"/>
      <c r="C266" s="245" t="s">
        <v>1618</v>
      </c>
      <c r="D266" s="246">
        <f>(6.3+6.4+6+4.2+4.6)*1.05+0.12</f>
        <v>28.995</v>
      </c>
      <c r="E266" s="247"/>
      <c r="F266" s="247"/>
      <c r="G266" s="248"/>
      <c r="H266" s="249"/>
      <c r="I266" s="250"/>
      <c r="J266" s="250"/>
      <c r="K266" s="250"/>
      <c r="L266" s="250"/>
    </row>
    <row r="267" spans="1:7" ht="14" thickBot="1">
      <c r="A267" s="218"/>
      <c r="B267" s="412"/>
      <c r="C267" s="220"/>
      <c r="D267" s="221"/>
      <c r="E267" s="413"/>
      <c r="F267" s="414"/>
      <c r="G267" s="415"/>
    </row>
    <row r="268" spans="1:7" ht="13" thickBot="1">
      <c r="A268" s="225"/>
      <c r="B268" s="226"/>
      <c r="C268" s="227" t="s">
        <v>113</v>
      </c>
      <c r="D268" s="226"/>
      <c r="E268" s="416"/>
      <c r="F268" s="417"/>
      <c r="G268" s="230">
        <f>SUBTOTAL(9,G169:G267)</f>
        <v>0</v>
      </c>
    </row>
    <row r="269" spans="1:7" ht="13" thickBot="1">
      <c r="A269" s="179"/>
      <c r="B269" s="180"/>
      <c r="C269" s="180"/>
      <c r="D269" s="180"/>
      <c r="E269" s="180"/>
      <c r="F269" s="180"/>
      <c r="G269" s="396"/>
    </row>
    <row r="270" spans="1:7" ht="13" thickBot="1">
      <c r="A270" s="182" t="s">
        <v>170</v>
      </c>
      <c r="B270" s="183" t="s">
        <v>264</v>
      </c>
      <c r="C270" s="184" t="s">
        <v>154</v>
      </c>
      <c r="D270" s="397"/>
      <c r="E270" s="398"/>
      <c r="F270" s="187"/>
      <c r="G270" s="399"/>
    </row>
    <row r="271" spans="1:7" ht="12.75">
      <c r="A271" s="189"/>
      <c r="B271" s="400"/>
      <c r="C271" s="232"/>
      <c r="D271" s="233"/>
      <c r="E271" s="401"/>
      <c r="F271" s="402"/>
      <c r="G271" s="403"/>
    </row>
    <row r="272" spans="1:18" s="204" customFormat="1" ht="20.25" customHeight="1">
      <c r="A272" s="751" t="s">
        <v>171</v>
      </c>
      <c r="B272" s="778">
        <v>642944121</v>
      </c>
      <c r="C272" s="823" t="s">
        <v>1740</v>
      </c>
      <c r="D272" s="778" t="s">
        <v>175</v>
      </c>
      <c r="E272" s="821">
        <v>6</v>
      </c>
      <c r="F272" s="821"/>
      <c r="G272" s="781">
        <f>E272*F272</f>
        <v>0</v>
      </c>
      <c r="H272" s="85">
        <v>0.04684</v>
      </c>
      <c r="I272" s="85">
        <f>E272*H272</f>
        <v>0.28104</v>
      </c>
      <c r="J272" s="201">
        <v>0</v>
      </c>
      <c r="K272" s="201">
        <f>E272*J272</f>
        <v>0</v>
      </c>
      <c r="L272" s="481"/>
      <c r="O272" s="794"/>
      <c r="P272" s="806"/>
      <c r="Q272" s="806"/>
      <c r="R272" s="820"/>
    </row>
    <row r="273" spans="1:18" s="204" customFormat="1" ht="20.25" customHeight="1">
      <c r="A273" s="751" t="s">
        <v>172</v>
      </c>
      <c r="B273" s="778" t="s">
        <v>1126</v>
      </c>
      <c r="C273" s="823" t="s">
        <v>1127</v>
      </c>
      <c r="D273" s="778" t="s">
        <v>175</v>
      </c>
      <c r="E273" s="821">
        <v>6</v>
      </c>
      <c r="F273" s="821"/>
      <c r="G273" s="781">
        <f>E273*F273</f>
        <v>0</v>
      </c>
      <c r="H273" s="85">
        <v>0</v>
      </c>
      <c r="I273" s="85">
        <f>E273*H273</f>
        <v>0</v>
      </c>
      <c r="J273" s="201">
        <v>0</v>
      </c>
      <c r="K273" s="201">
        <f>E273*J273</f>
        <v>0</v>
      </c>
      <c r="L273" s="481"/>
      <c r="O273" s="794"/>
      <c r="P273" s="806"/>
      <c r="Q273" s="806"/>
      <c r="R273" s="820"/>
    </row>
    <row r="274" spans="1:18" s="204" customFormat="1" ht="27" customHeight="1">
      <c r="A274" s="751" t="s">
        <v>173</v>
      </c>
      <c r="B274" s="305">
        <v>766682122</v>
      </c>
      <c r="C274" s="306" t="s">
        <v>1820</v>
      </c>
      <c r="D274" s="778" t="s">
        <v>175</v>
      </c>
      <c r="E274" s="439">
        <v>1</v>
      </c>
      <c r="F274" s="439"/>
      <c r="G274" s="781">
        <f>E274*F274</f>
        <v>0</v>
      </c>
      <c r="H274" s="85">
        <v>0.00047</v>
      </c>
      <c r="I274" s="85">
        <f>E274*H274</f>
        <v>0.00047</v>
      </c>
      <c r="J274" s="201">
        <v>0</v>
      </c>
      <c r="K274" s="201">
        <f>E274*J274</f>
        <v>0</v>
      </c>
      <c r="L274" s="481"/>
      <c r="O274" s="794"/>
      <c r="P274" s="806"/>
      <c r="Q274" s="806"/>
      <c r="R274" s="820"/>
    </row>
    <row r="275" spans="1:18" s="204" customFormat="1" ht="35.25" customHeight="1">
      <c r="A275" s="751" t="s">
        <v>174</v>
      </c>
      <c r="B275" s="305">
        <v>766660173</v>
      </c>
      <c r="C275" s="306" t="s">
        <v>1832</v>
      </c>
      <c r="D275" s="778" t="s">
        <v>175</v>
      </c>
      <c r="E275" s="439">
        <v>1</v>
      </c>
      <c r="F275" s="439"/>
      <c r="G275" s="781">
        <f>E275*F275</f>
        <v>0</v>
      </c>
      <c r="H275" s="85">
        <v>0</v>
      </c>
      <c r="I275" s="85">
        <f>E275*H275</f>
        <v>0</v>
      </c>
      <c r="J275" s="201">
        <v>0</v>
      </c>
      <c r="K275" s="201">
        <f>E275*J275</f>
        <v>0</v>
      </c>
      <c r="L275" s="481"/>
      <c r="O275" s="794"/>
      <c r="P275" s="806"/>
      <c r="Q275" s="806"/>
      <c r="R275" s="820"/>
    </row>
    <row r="276" spans="1:18" s="579" customFormat="1" ht="24" customHeight="1">
      <c r="A276" s="824"/>
      <c r="B276" s="825"/>
      <c r="C276" s="826" t="s">
        <v>1819</v>
      </c>
      <c r="D276" s="825"/>
      <c r="E276" s="827"/>
      <c r="F276" s="827"/>
      <c r="G276" s="828"/>
      <c r="H276" s="217"/>
      <c r="I276" s="217"/>
      <c r="J276" s="216"/>
      <c r="K276" s="216"/>
      <c r="L276" s="829"/>
      <c r="O276" s="830"/>
      <c r="P276" s="831"/>
      <c r="Q276" s="831"/>
      <c r="R276" s="832"/>
    </row>
    <row r="277" spans="1:20" s="461" customFormat="1" ht="152.25" customHeight="1">
      <c r="A277" s="751" t="s">
        <v>176</v>
      </c>
      <c r="B277" s="752" t="s">
        <v>1544</v>
      </c>
      <c r="C277" s="735" t="s">
        <v>2411</v>
      </c>
      <c r="D277" s="736" t="s">
        <v>158</v>
      </c>
      <c r="E277" s="737">
        <v>2</v>
      </c>
      <c r="F277" s="296"/>
      <c r="G277" s="240">
        <f>$E277*F277</f>
        <v>0</v>
      </c>
      <c r="H277" s="242"/>
      <c r="I277" s="242"/>
      <c r="J277" s="243"/>
      <c r="K277" s="243"/>
      <c r="L277" s="243"/>
      <c r="M277" s="243"/>
      <c r="N277" s="405"/>
      <c r="O277" s="406"/>
      <c r="P277" s="406"/>
      <c r="Q277" s="406"/>
      <c r="R277" s="406"/>
      <c r="S277" s="406"/>
      <c r="T277" s="406"/>
    </row>
    <row r="278" spans="1:20" s="461" customFormat="1" ht="154.5" customHeight="1">
      <c r="A278" s="751" t="s">
        <v>178</v>
      </c>
      <c r="B278" s="752" t="s">
        <v>1545</v>
      </c>
      <c r="C278" s="735" t="s">
        <v>2412</v>
      </c>
      <c r="D278" s="736" t="s">
        <v>158</v>
      </c>
      <c r="E278" s="737">
        <v>4</v>
      </c>
      <c r="F278" s="296"/>
      <c r="G278" s="240">
        <f>$E278*F278</f>
        <v>0</v>
      </c>
      <c r="H278" s="242"/>
      <c r="I278" s="242"/>
      <c r="J278" s="243"/>
      <c r="K278" s="243"/>
      <c r="L278" s="243"/>
      <c r="M278" s="243"/>
      <c r="N278" s="405"/>
      <c r="O278" s="406"/>
      <c r="P278" s="406"/>
      <c r="Q278" s="406"/>
      <c r="R278" s="406"/>
      <c r="S278" s="406"/>
      <c r="T278" s="406"/>
    </row>
    <row r="279" spans="1:20" s="461" customFormat="1" ht="13">
      <c r="A279" s="750"/>
      <c r="B279" s="734"/>
      <c r="C279" s="735"/>
      <c r="D279" s="736"/>
      <c r="E279" s="737"/>
      <c r="F279" s="737"/>
      <c r="G279" s="738"/>
      <c r="H279" s="242"/>
      <c r="I279" s="242"/>
      <c r="J279" s="243"/>
      <c r="K279" s="243"/>
      <c r="L279" s="243"/>
      <c r="M279" s="243"/>
      <c r="N279" s="405"/>
      <c r="O279" s="406"/>
      <c r="P279" s="406"/>
      <c r="Q279" s="406"/>
      <c r="R279" s="406"/>
      <c r="S279" s="406"/>
      <c r="T279" s="406"/>
    </row>
    <row r="280" spans="1:20" s="732" customFormat="1" ht="111" customHeight="1">
      <c r="A280" s="751" t="s">
        <v>180</v>
      </c>
      <c r="B280" s="753" t="s">
        <v>1640</v>
      </c>
      <c r="C280" s="754" t="s">
        <v>1641</v>
      </c>
      <c r="D280" s="736" t="s">
        <v>158</v>
      </c>
      <c r="E280" s="737">
        <v>1</v>
      </c>
      <c r="F280" s="296"/>
      <c r="G280" s="240">
        <f>$E280*F280</f>
        <v>0</v>
      </c>
      <c r="H280" s="755"/>
      <c r="I280" s="755"/>
      <c r="J280" s="411"/>
      <c r="K280" s="411"/>
      <c r="L280" s="411"/>
      <c r="M280" s="411"/>
      <c r="N280" s="730"/>
      <c r="O280" s="731"/>
      <c r="P280" s="731"/>
      <c r="Q280" s="731"/>
      <c r="R280" s="731"/>
      <c r="S280" s="731"/>
      <c r="T280" s="731"/>
    </row>
    <row r="281" spans="1:7" ht="14" thickBot="1">
      <c r="A281" s="218"/>
      <c r="B281" s="412"/>
      <c r="C281" s="220"/>
      <c r="D281" s="221"/>
      <c r="E281" s="413"/>
      <c r="F281" s="414"/>
      <c r="G281" s="415"/>
    </row>
    <row r="282" spans="1:7" ht="17.25" customHeight="1" thickBot="1">
      <c r="A282" s="225"/>
      <c r="B282" s="226"/>
      <c r="C282" s="227" t="s">
        <v>113</v>
      </c>
      <c r="D282" s="226"/>
      <c r="E282" s="416"/>
      <c r="F282" s="417"/>
      <c r="G282" s="230">
        <f>SUBTOTAL(9,G271:G281)</f>
        <v>0</v>
      </c>
    </row>
    <row r="283" spans="1:7" ht="13" thickBot="1">
      <c r="A283" s="179"/>
      <c r="B283" s="180"/>
      <c r="C283" s="180"/>
      <c r="D283" s="180"/>
      <c r="E283" s="180"/>
      <c r="F283" s="180"/>
      <c r="G283" s="396"/>
    </row>
    <row r="284" spans="1:20" s="80" customFormat="1" ht="13" thickBot="1">
      <c r="A284" s="182" t="s">
        <v>183</v>
      </c>
      <c r="B284" s="183"/>
      <c r="C284" s="184" t="s">
        <v>167</v>
      </c>
      <c r="D284" s="185"/>
      <c r="E284" s="186"/>
      <c r="F284" s="187"/>
      <c r="G284" s="188"/>
      <c r="H284" s="77"/>
      <c r="I284" s="77"/>
      <c r="J284" s="77"/>
      <c r="K284" s="77"/>
      <c r="L284" s="77"/>
      <c r="M284" s="77"/>
      <c r="N284" s="78"/>
      <c r="O284" s="79"/>
      <c r="P284" s="79"/>
      <c r="Q284" s="79"/>
      <c r="R284" s="79"/>
      <c r="S284" s="79"/>
      <c r="T284" s="79"/>
    </row>
    <row r="285" spans="1:20" s="80" customFormat="1" ht="12.75">
      <c r="A285" s="189"/>
      <c r="B285" s="231"/>
      <c r="C285" s="232"/>
      <c r="D285" s="233"/>
      <c r="E285" s="234"/>
      <c r="F285" s="235"/>
      <c r="G285" s="236"/>
      <c r="H285" s="77"/>
      <c r="I285" s="77"/>
      <c r="J285" s="77"/>
      <c r="K285" s="77"/>
      <c r="L285" s="77"/>
      <c r="M285" s="77"/>
      <c r="N285" s="78"/>
      <c r="O285" s="79"/>
      <c r="P285" s="79"/>
      <c r="Q285" s="79"/>
      <c r="R285" s="79"/>
      <c r="S285" s="79"/>
      <c r="T285" s="79"/>
    </row>
    <row r="286" spans="1:20" s="271" customFormat="1" ht="19.5" customHeight="1">
      <c r="A286" s="268" t="s">
        <v>185</v>
      </c>
      <c r="B286" s="674" t="s">
        <v>169</v>
      </c>
      <c r="C286" s="691" t="s">
        <v>1114</v>
      </c>
      <c r="D286" s="674" t="s">
        <v>73</v>
      </c>
      <c r="E286" s="669">
        <f>I286</f>
        <v>115.31116499557065</v>
      </c>
      <c r="F286" s="669"/>
      <c r="G286" s="200">
        <f>E286*F286</f>
        <v>0</v>
      </c>
      <c r="H286" s="85"/>
      <c r="I286" s="722">
        <f>SUM(I117:I266)</f>
        <v>115.31116499557065</v>
      </c>
      <c r="J286" s="85"/>
      <c r="K286" s="85"/>
      <c r="L286" s="85"/>
      <c r="M286" s="85"/>
      <c r="N286" s="202"/>
      <c r="O286" s="203"/>
      <c r="P286" s="203"/>
      <c r="Q286" s="203"/>
      <c r="R286" s="203"/>
      <c r="S286" s="203"/>
      <c r="T286" s="203"/>
    </row>
    <row r="287" spans="1:20" s="80" customFormat="1" ht="14" thickBot="1">
      <c r="A287" s="218"/>
      <c r="B287" s="219"/>
      <c r="C287" s="220"/>
      <c r="D287" s="221"/>
      <c r="E287" s="222"/>
      <c r="F287" s="223"/>
      <c r="G287" s="224"/>
      <c r="H287" s="77"/>
      <c r="I287" s="77"/>
      <c r="J287" s="77"/>
      <c r="K287" s="77"/>
      <c r="L287" s="77"/>
      <c r="M287" s="77"/>
      <c r="N287" s="78"/>
      <c r="O287" s="79"/>
      <c r="P287" s="79"/>
      <c r="Q287" s="79"/>
      <c r="R287" s="79"/>
      <c r="S287" s="79"/>
      <c r="T287" s="79"/>
    </row>
    <row r="288" spans="1:20" s="80" customFormat="1" ht="13" thickBot="1">
      <c r="A288" s="225"/>
      <c r="B288" s="226"/>
      <c r="C288" s="227" t="s">
        <v>113</v>
      </c>
      <c r="D288" s="226"/>
      <c r="E288" s="228"/>
      <c r="F288" s="229"/>
      <c r="G288" s="230">
        <f>SUBTOTAL(9,G285:G287)</f>
        <v>0</v>
      </c>
      <c r="H288" s="77"/>
      <c r="I288" s="77"/>
      <c r="J288" s="77"/>
      <c r="K288" s="77"/>
      <c r="L288" s="77"/>
      <c r="M288" s="77"/>
      <c r="N288" s="78"/>
      <c r="O288" s="79"/>
      <c r="P288" s="79"/>
      <c r="Q288" s="79"/>
      <c r="R288" s="79"/>
      <c r="S288" s="79"/>
      <c r="T288" s="79"/>
    </row>
    <row r="289" spans="1:20" s="80" customFormat="1" ht="13" thickBot="1">
      <c r="A289" s="179"/>
      <c r="B289" s="180"/>
      <c r="C289" s="180"/>
      <c r="D289" s="180"/>
      <c r="E289" s="180"/>
      <c r="F289" s="180"/>
      <c r="G289" s="181"/>
      <c r="H289" s="77"/>
      <c r="I289" s="77"/>
      <c r="J289" s="77"/>
      <c r="K289" s="77"/>
      <c r="L289" s="77"/>
      <c r="M289" s="77"/>
      <c r="N289" s="78"/>
      <c r="O289" s="79"/>
      <c r="P289" s="79"/>
      <c r="Q289" s="79"/>
      <c r="R289" s="79"/>
      <c r="S289" s="79"/>
      <c r="T289" s="79"/>
    </row>
    <row r="290" spans="1:7" ht="13" thickBot="1">
      <c r="A290" s="182" t="s">
        <v>139</v>
      </c>
      <c r="B290" s="183" t="s">
        <v>267</v>
      </c>
      <c r="C290" s="184" t="s">
        <v>191</v>
      </c>
      <c r="D290" s="397"/>
      <c r="E290" s="398"/>
      <c r="F290" s="187"/>
      <c r="G290" s="399"/>
    </row>
    <row r="291" spans="1:7" ht="12.75">
      <c r="A291" s="189"/>
      <c r="B291" s="400"/>
      <c r="C291" s="232"/>
      <c r="D291" s="233"/>
      <c r="E291" s="401"/>
      <c r="F291" s="402"/>
      <c r="G291" s="403"/>
    </row>
    <row r="292" spans="1:20" s="271" customFormat="1" ht="24" customHeight="1">
      <c r="A292" s="268" t="s">
        <v>192</v>
      </c>
      <c r="B292" s="674">
        <v>771591112</v>
      </c>
      <c r="C292" s="691" t="s">
        <v>1428</v>
      </c>
      <c r="D292" s="674" t="s">
        <v>46</v>
      </c>
      <c r="E292" s="669">
        <f>E293</f>
        <v>54.2</v>
      </c>
      <c r="F292" s="669"/>
      <c r="G292" s="670">
        <f>E292*F292</f>
        <v>0</v>
      </c>
      <c r="H292" s="85">
        <v>0.0015</v>
      </c>
      <c r="I292" s="201">
        <f>E292*H292</f>
        <v>0.08130000000000001</v>
      </c>
      <c r="J292" s="85">
        <v>0</v>
      </c>
      <c r="K292" s="85">
        <f>E292*J292</f>
        <v>0</v>
      </c>
      <c r="L292" s="85"/>
      <c r="M292" s="85"/>
      <c r="N292" s="202"/>
      <c r="O292" s="203"/>
      <c r="P292" s="203"/>
      <c r="Q292" s="203"/>
      <c r="R292" s="203"/>
      <c r="S292" s="203"/>
      <c r="T292" s="203"/>
    </row>
    <row r="293" spans="1:20" s="204" customFormat="1" ht="32.25" customHeight="1">
      <c r="A293" s="268" t="s">
        <v>193</v>
      </c>
      <c r="B293" s="305" t="s">
        <v>1117</v>
      </c>
      <c r="C293" s="306" t="s">
        <v>1118</v>
      </c>
      <c r="D293" s="305" t="s">
        <v>46</v>
      </c>
      <c r="E293" s="199">
        <f>SUM(D294)</f>
        <v>54.2</v>
      </c>
      <c r="F293" s="199"/>
      <c r="G293" s="670">
        <f>E293*F293</f>
        <v>0</v>
      </c>
      <c r="H293" s="85">
        <v>0.009</v>
      </c>
      <c r="I293" s="201">
        <f>E293*H293</f>
        <v>0.4878</v>
      </c>
      <c r="J293" s="85"/>
      <c r="K293" s="85"/>
      <c r="L293" s="85"/>
      <c r="M293" s="85"/>
      <c r="N293" s="202"/>
      <c r="O293" s="203"/>
      <c r="P293" s="203"/>
      <c r="Q293" s="203"/>
      <c r="R293" s="203"/>
      <c r="S293" s="203"/>
      <c r="T293" s="203"/>
    </row>
    <row r="294" spans="1:12" s="251" customFormat="1" ht="20.25" customHeight="1">
      <c r="A294" s="196"/>
      <c r="B294" s="205"/>
      <c r="C294" s="245" t="s">
        <v>1629</v>
      </c>
      <c r="D294" s="246">
        <f>(5.6+7.5+1.2+3.4+2.9+33.6)</f>
        <v>54.2</v>
      </c>
      <c r="E294" s="247"/>
      <c r="F294" s="247"/>
      <c r="G294" s="248"/>
      <c r="H294" s="249"/>
      <c r="I294" s="250"/>
      <c r="J294" s="250"/>
      <c r="K294" s="250"/>
      <c r="L294" s="250"/>
    </row>
    <row r="295" spans="1:20" s="204" customFormat="1" ht="22.5" customHeight="1">
      <c r="A295" s="268" t="s">
        <v>194</v>
      </c>
      <c r="B295" s="305">
        <v>771474111</v>
      </c>
      <c r="C295" s="306" t="s">
        <v>2417</v>
      </c>
      <c r="D295" s="305" t="s">
        <v>309</v>
      </c>
      <c r="E295" s="199">
        <f>SUM(D296)</f>
        <v>25.6</v>
      </c>
      <c r="F295" s="199"/>
      <c r="G295" s="670">
        <f>E295*F295</f>
        <v>0</v>
      </c>
      <c r="H295" s="85">
        <v>0.0003</v>
      </c>
      <c r="I295" s="201">
        <f>E295*H295</f>
        <v>0.007679999999999999</v>
      </c>
      <c r="J295" s="85"/>
      <c r="K295" s="85"/>
      <c r="L295" s="85"/>
      <c r="M295" s="85"/>
      <c r="N295" s="202"/>
      <c r="O295" s="203"/>
      <c r="P295" s="203"/>
      <c r="Q295" s="203"/>
      <c r="R295" s="203"/>
      <c r="S295" s="203"/>
      <c r="T295" s="203"/>
    </row>
    <row r="296" spans="1:12" s="251" customFormat="1" ht="20.25" customHeight="1">
      <c r="A296" s="196"/>
      <c r="B296" s="205"/>
      <c r="C296" s="245" t="s">
        <v>2418</v>
      </c>
      <c r="D296" s="246">
        <f>12+4.8+5.8+3</f>
        <v>25.6</v>
      </c>
      <c r="E296" s="247"/>
      <c r="F296" s="247"/>
      <c r="G296" s="248"/>
      <c r="H296" s="249"/>
      <c r="I296" s="250"/>
      <c r="J296" s="250"/>
      <c r="K296" s="250"/>
      <c r="L296" s="250"/>
    </row>
    <row r="297" spans="1:20" s="204" customFormat="1" ht="29.25" customHeight="1">
      <c r="A297" s="268" t="s">
        <v>195</v>
      </c>
      <c r="B297" s="197" t="s">
        <v>1119</v>
      </c>
      <c r="C297" s="136" t="s">
        <v>1497</v>
      </c>
      <c r="D297" s="198" t="s">
        <v>46</v>
      </c>
      <c r="E297" s="199">
        <f>1.15*E293+E295*0.065*1.25-0.01</f>
        <v>64.39999999999999</v>
      </c>
      <c r="F297" s="199"/>
      <c r="G297" s="200">
        <f>E297*F297</f>
        <v>0</v>
      </c>
      <c r="H297" s="201">
        <v>0.02415</v>
      </c>
      <c r="I297" s="201">
        <f>E297*H297</f>
        <v>1.5552599999999999</v>
      </c>
      <c r="J297" s="85">
        <v>0</v>
      </c>
      <c r="K297" s="85">
        <f>E297*J297</f>
        <v>0</v>
      </c>
      <c r="L297" s="85"/>
      <c r="M297" s="85"/>
      <c r="N297" s="202"/>
      <c r="O297" s="203"/>
      <c r="P297" s="203"/>
      <c r="Q297" s="203"/>
      <c r="R297" s="203"/>
      <c r="S297" s="203"/>
      <c r="T297" s="203"/>
    </row>
    <row r="298" spans="1:20" s="204" customFormat="1" ht="24" customHeight="1">
      <c r="A298" s="268" t="s">
        <v>289</v>
      </c>
      <c r="B298" s="197" t="s">
        <v>196</v>
      </c>
      <c r="C298" s="136" t="s">
        <v>335</v>
      </c>
      <c r="D298" s="198" t="s">
        <v>73</v>
      </c>
      <c r="E298" s="199">
        <f>I298</f>
        <v>2.0920110000000003</v>
      </c>
      <c r="F298" s="199"/>
      <c r="G298" s="200">
        <f>E298*F298</f>
        <v>0</v>
      </c>
      <c r="H298" s="201"/>
      <c r="I298" s="216">
        <f>SUM(I306:I312)</f>
        <v>2.0920110000000003</v>
      </c>
      <c r="J298" s="85"/>
      <c r="K298" s="85">
        <f>E298*J298</f>
        <v>0</v>
      </c>
      <c r="L298" s="85"/>
      <c r="M298" s="85"/>
      <c r="N298" s="202"/>
      <c r="O298" s="203"/>
      <c r="P298" s="203"/>
      <c r="Q298" s="203"/>
      <c r="R298" s="203"/>
      <c r="S298" s="203"/>
      <c r="T298" s="203"/>
    </row>
    <row r="299" spans="1:7" ht="14" thickBot="1">
      <c r="A299" s="218"/>
      <c r="B299" s="412"/>
      <c r="C299" s="220"/>
      <c r="D299" s="221"/>
      <c r="E299" s="413"/>
      <c r="F299" s="414"/>
      <c r="G299" s="415"/>
    </row>
    <row r="300" spans="1:7" ht="17.25" customHeight="1" thickBot="1">
      <c r="A300" s="225"/>
      <c r="B300" s="226"/>
      <c r="C300" s="227" t="s">
        <v>113</v>
      </c>
      <c r="D300" s="226"/>
      <c r="E300" s="416"/>
      <c r="F300" s="417"/>
      <c r="G300" s="230">
        <f>SUBTOTAL(9,G290:G299)</f>
        <v>0</v>
      </c>
    </row>
    <row r="301" spans="1:7" ht="13" thickBot="1">
      <c r="A301" s="179"/>
      <c r="B301" s="180"/>
      <c r="C301" s="180"/>
      <c r="D301" s="180"/>
      <c r="E301" s="180"/>
      <c r="F301" s="180"/>
      <c r="G301" s="396"/>
    </row>
    <row r="302" spans="1:7" ht="13" thickBot="1">
      <c r="A302" s="182" t="s">
        <v>197</v>
      </c>
      <c r="B302" s="183">
        <v>775</v>
      </c>
      <c r="C302" s="184" t="s">
        <v>327</v>
      </c>
      <c r="D302" s="397"/>
      <c r="E302" s="398"/>
      <c r="F302" s="187"/>
      <c r="G302" s="399"/>
    </row>
    <row r="303" spans="1:7" ht="12.75">
      <c r="A303" s="189"/>
      <c r="B303" s="400"/>
      <c r="C303" s="232"/>
      <c r="D303" s="233"/>
      <c r="E303" s="401"/>
      <c r="F303" s="402"/>
      <c r="G303" s="403"/>
    </row>
    <row r="304" spans="1:12" s="244" customFormat="1" ht="18" customHeight="1">
      <c r="A304" s="196" t="s">
        <v>198</v>
      </c>
      <c r="B304" s="305">
        <v>771121011</v>
      </c>
      <c r="C304" s="306" t="s">
        <v>272</v>
      </c>
      <c r="D304" s="305" t="s">
        <v>46</v>
      </c>
      <c r="E304" s="239">
        <f>E306</f>
        <v>118.3</v>
      </c>
      <c r="F304" s="439"/>
      <c r="G304" s="240">
        <f>$E304*F304</f>
        <v>0</v>
      </c>
      <c r="H304" s="241">
        <v>0.0003</v>
      </c>
      <c r="I304" s="241">
        <f>E304*H304</f>
        <v>0.035489999999999994</v>
      </c>
      <c r="J304" s="243">
        <v>0</v>
      </c>
      <c r="K304" s="243">
        <f>E304*J304</f>
        <v>0</v>
      </c>
      <c r="L304" s="241"/>
    </row>
    <row r="305" spans="1:12" s="251" customFormat="1" ht="15" customHeight="1">
      <c r="A305" s="432"/>
      <c r="B305" s="205"/>
      <c r="C305" s="245"/>
      <c r="D305" s="246"/>
      <c r="E305" s="247"/>
      <c r="F305" s="247"/>
      <c r="G305" s="248"/>
      <c r="H305" s="249"/>
      <c r="I305" s="250"/>
      <c r="J305" s="250"/>
      <c r="K305" s="250"/>
      <c r="L305" s="250"/>
    </row>
    <row r="306" spans="1:12" s="244" customFormat="1" ht="48" customHeight="1">
      <c r="A306" s="196" t="s">
        <v>199</v>
      </c>
      <c r="B306" s="197" t="s">
        <v>1626</v>
      </c>
      <c r="C306" s="294" t="s">
        <v>1625</v>
      </c>
      <c r="D306" s="295" t="s">
        <v>46</v>
      </c>
      <c r="E306" s="297">
        <v>118.3</v>
      </c>
      <c r="F306" s="296"/>
      <c r="G306" s="240">
        <f>$E306*F306</f>
        <v>0</v>
      </c>
      <c r="H306" s="241">
        <v>0.01761</v>
      </c>
      <c r="I306" s="241">
        <f>E306*H306</f>
        <v>2.083263</v>
      </c>
      <c r="J306" s="241">
        <v>0</v>
      </c>
      <c r="K306" s="241">
        <f>E306*J306</f>
        <v>0</v>
      </c>
      <c r="L306" s="241"/>
    </row>
    <row r="307" spans="1:12" s="244" customFormat="1" ht="22.5" customHeight="1">
      <c r="A307" s="196" t="s">
        <v>201</v>
      </c>
      <c r="B307" s="945" t="s">
        <v>2413</v>
      </c>
      <c r="C307" s="992" t="s">
        <v>2414</v>
      </c>
      <c r="D307" s="993" t="s">
        <v>116</v>
      </c>
      <c r="E307" s="871">
        <f>46.3-1.8-2.9-1.6-1-1.5</f>
        <v>37.5</v>
      </c>
      <c r="F307" s="994"/>
      <c r="G307" s="240">
        <f aca="true" t="shared" si="8" ref="G307:G308">$E307*F307</f>
        <v>0</v>
      </c>
      <c r="H307" s="241">
        <v>0</v>
      </c>
      <c r="I307" s="241">
        <f aca="true" t="shared" si="9" ref="I307:I308">E307*H307</f>
        <v>0</v>
      </c>
      <c r="J307" s="241">
        <v>0</v>
      </c>
      <c r="K307" s="241">
        <f aca="true" t="shared" si="10" ref="K307:K308">E307*J307</f>
        <v>0</v>
      </c>
      <c r="L307" s="241"/>
    </row>
    <row r="308" spans="1:12" s="244" customFormat="1" ht="22.5" customHeight="1">
      <c r="A308" s="196" t="s">
        <v>202</v>
      </c>
      <c r="B308" s="945" t="s">
        <v>2415</v>
      </c>
      <c r="C308" s="992" t="s">
        <v>2416</v>
      </c>
      <c r="D308" s="993" t="s">
        <v>116</v>
      </c>
      <c r="E308" s="871">
        <f>E307*1.08</f>
        <v>40.5</v>
      </c>
      <c r="F308" s="994"/>
      <c r="G308" s="240">
        <f t="shared" si="8"/>
        <v>0</v>
      </c>
      <c r="H308" s="241">
        <v>0.000216</v>
      </c>
      <c r="I308" s="241">
        <f t="shared" si="9"/>
        <v>0.008747999999999999</v>
      </c>
      <c r="J308" s="241">
        <v>0</v>
      </c>
      <c r="K308" s="241">
        <f t="shared" si="10"/>
        <v>0</v>
      </c>
      <c r="L308" s="241"/>
    </row>
    <row r="309" spans="1:12" s="244" customFormat="1" ht="15" customHeight="1">
      <c r="A309" s="750"/>
      <c r="B309" s="945"/>
      <c r="C309" s="992"/>
      <c r="D309" s="993"/>
      <c r="E309" s="871"/>
      <c r="F309" s="994"/>
      <c r="G309" s="780"/>
      <c r="H309" s="241"/>
      <c r="I309" s="241"/>
      <c r="J309" s="241"/>
      <c r="K309" s="241"/>
      <c r="L309" s="241"/>
    </row>
    <row r="310" spans="1:20" s="204" customFormat="1" ht="23.25" customHeight="1">
      <c r="A310" s="196" t="s">
        <v>203</v>
      </c>
      <c r="B310" s="969" t="s">
        <v>2343</v>
      </c>
      <c r="C310" s="970" t="s">
        <v>2344</v>
      </c>
      <c r="D310" s="971" t="s">
        <v>116</v>
      </c>
      <c r="E310" s="972">
        <f>1.8+2.9+1.6+1+1.5</f>
        <v>8.8</v>
      </c>
      <c r="F310" s="972"/>
      <c r="G310" s="200">
        <f aca="true" t="shared" si="11" ref="G310:G311">E310*F310</f>
        <v>0</v>
      </c>
      <c r="H310" s="201"/>
      <c r="I310" s="201"/>
      <c r="J310" s="85"/>
      <c r="K310" s="85"/>
      <c r="L310" s="85"/>
      <c r="M310" s="85"/>
      <c r="N310" s="202"/>
      <c r="O310" s="203"/>
      <c r="P310" s="203"/>
      <c r="Q310" s="203"/>
      <c r="R310" s="203"/>
      <c r="S310" s="203"/>
      <c r="T310" s="203"/>
    </row>
    <row r="311" spans="1:20" s="204" customFormat="1" ht="23.25" customHeight="1">
      <c r="A311" s="196" t="s">
        <v>204</v>
      </c>
      <c r="B311" s="969" t="s">
        <v>2345</v>
      </c>
      <c r="C311" s="970" t="s">
        <v>2346</v>
      </c>
      <c r="D311" s="971" t="s">
        <v>116</v>
      </c>
      <c r="E311" s="972">
        <f>E310*1.08</f>
        <v>9.504000000000001</v>
      </c>
      <c r="F311" s="972"/>
      <c r="G311" s="200">
        <f t="shared" si="11"/>
        <v>0</v>
      </c>
      <c r="H311" s="201"/>
      <c r="I311" s="201"/>
      <c r="J311" s="85"/>
      <c r="K311" s="85"/>
      <c r="L311" s="85"/>
      <c r="M311" s="85"/>
      <c r="N311" s="202"/>
      <c r="O311" s="203"/>
      <c r="P311" s="203"/>
      <c r="Q311" s="203"/>
      <c r="R311" s="203"/>
      <c r="S311" s="203"/>
      <c r="T311" s="203"/>
    </row>
    <row r="312" spans="1:12" s="251" customFormat="1" ht="15" customHeight="1">
      <c r="A312" s="432"/>
      <c r="B312" s="205"/>
      <c r="C312" s="245"/>
      <c r="D312" s="246"/>
      <c r="E312" s="247"/>
      <c r="F312" s="247"/>
      <c r="G312" s="248"/>
      <c r="H312" s="249"/>
      <c r="I312" s="250"/>
      <c r="J312" s="250"/>
      <c r="K312" s="250"/>
      <c r="L312" s="250"/>
    </row>
    <row r="313" spans="1:12" s="244" customFormat="1" ht="16.5" customHeight="1">
      <c r="A313" s="196" t="s">
        <v>205</v>
      </c>
      <c r="B313" s="197" t="s">
        <v>273</v>
      </c>
      <c r="C313" s="294" t="s">
        <v>274</v>
      </c>
      <c r="D313" s="295" t="s">
        <v>46</v>
      </c>
      <c r="E313" s="296">
        <f>E306</f>
        <v>118.3</v>
      </c>
      <c r="F313" s="749"/>
      <c r="G313" s="240">
        <f>$E313*F313</f>
        <v>0</v>
      </c>
      <c r="H313" s="241">
        <v>0.00016</v>
      </c>
      <c r="I313" s="241">
        <f>E313*H313</f>
        <v>0.018928</v>
      </c>
      <c r="J313" s="243">
        <v>0</v>
      </c>
      <c r="K313" s="243">
        <f>E313*J313</f>
        <v>0</v>
      </c>
      <c r="L313" s="241"/>
    </row>
    <row r="314" spans="1:12" s="244" customFormat="1" ht="16.5" customHeight="1">
      <c r="A314" s="196" t="s">
        <v>208</v>
      </c>
      <c r="B314" s="197" t="s">
        <v>275</v>
      </c>
      <c r="C314" s="294" t="s">
        <v>276</v>
      </c>
      <c r="D314" s="295" t="s">
        <v>46</v>
      </c>
      <c r="E314" s="296">
        <f>E306</f>
        <v>118.3</v>
      </c>
      <c r="F314" s="749"/>
      <c r="G314" s="240">
        <f>$E314*F314</f>
        <v>0</v>
      </c>
      <c r="H314" s="241">
        <v>0.00019</v>
      </c>
      <c r="I314" s="241">
        <f>E314*H314</f>
        <v>0.022477</v>
      </c>
      <c r="J314" s="243">
        <v>0</v>
      </c>
      <c r="K314" s="243">
        <f>E314*J314</f>
        <v>0</v>
      </c>
      <c r="L314" s="241"/>
    </row>
    <row r="315" spans="1:12" s="244" customFormat="1" ht="16.5" customHeight="1">
      <c r="A315" s="196" t="s">
        <v>209</v>
      </c>
      <c r="B315" s="197" t="s">
        <v>277</v>
      </c>
      <c r="C315" s="294" t="s">
        <v>278</v>
      </c>
      <c r="D315" s="295" t="s">
        <v>46</v>
      </c>
      <c r="E315" s="296">
        <f>E306</f>
        <v>118.3</v>
      </c>
      <c r="F315" s="749"/>
      <c r="G315" s="240">
        <f>$E315*F315</f>
        <v>0</v>
      </c>
      <c r="H315" s="241">
        <v>1E-05</v>
      </c>
      <c r="I315" s="241">
        <f>E315*H315</f>
        <v>0.001183</v>
      </c>
      <c r="J315" s="243">
        <v>0</v>
      </c>
      <c r="K315" s="243">
        <f>E315*J315</f>
        <v>0</v>
      </c>
      <c r="L315" s="241"/>
    </row>
    <row r="316" spans="1:12" s="244" customFormat="1" ht="16.5" customHeight="1">
      <c r="A316" s="196" t="s">
        <v>210</v>
      </c>
      <c r="B316" s="197" t="s">
        <v>1627</v>
      </c>
      <c r="C316" s="294" t="s">
        <v>1628</v>
      </c>
      <c r="D316" s="295" t="s">
        <v>46</v>
      </c>
      <c r="E316" s="296">
        <f>E306</f>
        <v>118.3</v>
      </c>
      <c r="F316" s="296"/>
      <c r="G316" s="240">
        <f>$E316*F316</f>
        <v>0</v>
      </c>
      <c r="H316" s="241">
        <v>4E-05</v>
      </c>
      <c r="I316" s="241">
        <f>E316*H316</f>
        <v>0.004732</v>
      </c>
      <c r="J316" s="243">
        <v>0</v>
      </c>
      <c r="K316" s="243">
        <f>E316*J316</f>
        <v>0</v>
      </c>
      <c r="L316" s="241"/>
    </row>
    <row r="317" spans="1:12" s="244" customFormat="1" ht="16.5" customHeight="1">
      <c r="A317" s="196" t="s">
        <v>211</v>
      </c>
      <c r="B317" s="197" t="s">
        <v>279</v>
      </c>
      <c r="C317" s="294" t="s">
        <v>280</v>
      </c>
      <c r="D317" s="295" t="s">
        <v>73</v>
      </c>
      <c r="E317" s="297">
        <f>I317</f>
        <v>2.174821</v>
      </c>
      <c r="F317" s="296"/>
      <c r="G317" s="240">
        <f>$E317*F317</f>
        <v>0</v>
      </c>
      <c r="H317" s="241"/>
      <c r="I317" s="438">
        <f>SUM(I304:I316)</f>
        <v>2.174821</v>
      </c>
      <c r="J317" s="241"/>
      <c r="K317" s="438">
        <f>SUM(K306:K316)</f>
        <v>0</v>
      </c>
      <c r="L317" s="241"/>
    </row>
    <row r="318" spans="1:7" ht="14" thickBot="1">
      <c r="A318" s="218"/>
      <c r="B318" s="412"/>
      <c r="C318" s="220"/>
      <c r="D318" s="221"/>
      <c r="E318" s="413"/>
      <c r="F318" s="414"/>
      <c r="G318" s="415"/>
    </row>
    <row r="319" spans="1:7" ht="17.25" customHeight="1" thickBot="1">
      <c r="A319" s="225"/>
      <c r="B319" s="226"/>
      <c r="C319" s="227" t="s">
        <v>113</v>
      </c>
      <c r="D319" s="226"/>
      <c r="E319" s="416"/>
      <c r="F319" s="417"/>
      <c r="G319" s="230">
        <f>SUBTOTAL(9,G303:G318)</f>
        <v>0</v>
      </c>
    </row>
    <row r="320" spans="1:7" ht="13" thickBot="1">
      <c r="A320" s="179"/>
      <c r="B320" s="180"/>
      <c r="C320" s="180"/>
      <c r="D320" s="180"/>
      <c r="E320" s="180"/>
      <c r="F320" s="180"/>
      <c r="G320" s="396"/>
    </row>
    <row r="321" spans="1:7" ht="13" thickBot="1">
      <c r="A321" s="182" t="s">
        <v>228</v>
      </c>
      <c r="B321" s="183">
        <v>776</v>
      </c>
      <c r="C321" s="184" t="s">
        <v>334</v>
      </c>
      <c r="D321" s="397"/>
      <c r="E321" s="398"/>
      <c r="F321" s="187"/>
      <c r="G321" s="399"/>
    </row>
    <row r="322" spans="1:7" ht="12.75">
      <c r="A322" s="189"/>
      <c r="B322" s="400"/>
      <c r="C322" s="232"/>
      <c r="D322" s="233"/>
      <c r="E322" s="401"/>
      <c r="F322" s="402"/>
      <c r="G322" s="403"/>
    </row>
    <row r="323" spans="1:12" s="244" customFormat="1" ht="21.75" customHeight="1">
      <c r="A323" s="196" t="s">
        <v>230</v>
      </c>
      <c r="B323" s="305" t="s">
        <v>1630</v>
      </c>
      <c r="C323" s="306" t="s">
        <v>1631</v>
      </c>
      <c r="D323" s="305" t="s">
        <v>46</v>
      </c>
      <c r="E323" s="239">
        <v>1.8</v>
      </c>
      <c r="F323" s="439"/>
      <c r="G323" s="240">
        <f>$E323*F323</f>
        <v>0</v>
      </c>
      <c r="H323" s="241">
        <v>0.0002</v>
      </c>
      <c r="I323" s="241">
        <f>E323*H323</f>
        <v>0.00036</v>
      </c>
      <c r="J323" s="243">
        <v>0</v>
      </c>
      <c r="K323" s="243">
        <f>E323*J323</f>
        <v>0</v>
      </c>
      <c r="L323" s="241"/>
    </row>
    <row r="324" spans="1:12" s="244" customFormat="1" ht="19.5" customHeight="1">
      <c r="A324" s="196" t="s">
        <v>232</v>
      </c>
      <c r="B324" s="197" t="s">
        <v>1634</v>
      </c>
      <c r="C324" s="294" t="s">
        <v>1635</v>
      </c>
      <c r="D324" s="295" t="s">
        <v>46</v>
      </c>
      <c r="E324" s="297">
        <v>1.8</v>
      </c>
      <c r="F324" s="296"/>
      <c r="G324" s="240">
        <f>$E324*F324</f>
        <v>0</v>
      </c>
      <c r="H324" s="241">
        <v>0.00455</v>
      </c>
      <c r="I324" s="241">
        <f>E324*H324</f>
        <v>0.008190000000000001</v>
      </c>
      <c r="J324" s="241">
        <v>0</v>
      </c>
      <c r="K324" s="241">
        <f>E324*J324</f>
        <v>0</v>
      </c>
      <c r="L324" s="241"/>
    </row>
    <row r="325" spans="1:12" s="244" customFormat="1" ht="18" customHeight="1">
      <c r="A325" s="196" t="s">
        <v>234</v>
      </c>
      <c r="B325" s="305" t="s">
        <v>1632</v>
      </c>
      <c r="C325" s="306" t="s">
        <v>1633</v>
      </c>
      <c r="D325" s="305" t="s">
        <v>46</v>
      </c>
      <c r="E325" s="239">
        <v>1.8</v>
      </c>
      <c r="F325" s="439"/>
      <c r="G325" s="240">
        <f>$E325*F325</f>
        <v>0</v>
      </c>
      <c r="H325" s="241">
        <v>0.00315</v>
      </c>
      <c r="I325" s="241">
        <f>E325*H325</f>
        <v>0.0056700000000000006</v>
      </c>
      <c r="J325" s="241">
        <v>0</v>
      </c>
      <c r="K325" s="241">
        <f>E325*J325</f>
        <v>0</v>
      </c>
      <c r="L325" s="241"/>
    </row>
    <row r="326" spans="1:12" s="251" customFormat="1" ht="15" customHeight="1">
      <c r="A326" s="432"/>
      <c r="B326" s="205"/>
      <c r="C326" s="245"/>
      <c r="D326" s="246"/>
      <c r="E326" s="247"/>
      <c r="F326" s="247"/>
      <c r="G326" s="240"/>
      <c r="H326" s="249"/>
      <c r="I326" s="250"/>
      <c r="J326" s="250"/>
      <c r="K326" s="250"/>
      <c r="L326" s="250"/>
    </row>
    <row r="327" spans="1:12" s="244" customFormat="1" ht="36" customHeight="1">
      <c r="A327" s="196" t="s">
        <v>237</v>
      </c>
      <c r="B327" s="197" t="s">
        <v>1639</v>
      </c>
      <c r="C327" s="294" t="s">
        <v>1638</v>
      </c>
      <c r="D327" s="295" t="s">
        <v>46</v>
      </c>
      <c r="E327" s="296">
        <v>1.8</v>
      </c>
      <c r="F327" s="749"/>
      <c r="G327" s="240">
        <f>$E327*F327</f>
        <v>0</v>
      </c>
      <c r="H327" s="241">
        <v>0.0072</v>
      </c>
      <c r="I327" s="241">
        <f>E327*H327</f>
        <v>0.01296</v>
      </c>
      <c r="J327" s="243">
        <v>0</v>
      </c>
      <c r="K327" s="243">
        <f>E327*J327</f>
        <v>0</v>
      </c>
      <c r="L327" s="241"/>
    </row>
    <row r="328" spans="1:12" s="244" customFormat="1" ht="21.75" customHeight="1">
      <c r="A328" s="196" t="s">
        <v>240</v>
      </c>
      <c r="B328" s="197" t="s">
        <v>1636</v>
      </c>
      <c r="C328" s="294" t="s">
        <v>1637</v>
      </c>
      <c r="D328" s="295" t="s">
        <v>73</v>
      </c>
      <c r="E328" s="297">
        <f>I328</f>
        <v>0.02718</v>
      </c>
      <c r="F328" s="296"/>
      <c r="G328" s="240">
        <f>$E328*F328</f>
        <v>0</v>
      </c>
      <c r="H328" s="241"/>
      <c r="I328" s="438">
        <f>SUM(I323:I327)</f>
        <v>0.02718</v>
      </c>
      <c r="J328" s="241"/>
      <c r="K328" s="438">
        <f>SUM(K324:K327)</f>
        <v>0</v>
      </c>
      <c r="L328" s="241"/>
    </row>
    <row r="329" spans="1:7" ht="14" thickBot="1">
      <c r="A329" s="218"/>
      <c r="B329" s="412"/>
      <c r="C329" s="220"/>
      <c r="D329" s="221"/>
      <c r="E329" s="413"/>
      <c r="F329" s="414"/>
      <c r="G329" s="415"/>
    </row>
    <row r="330" spans="1:7" ht="17.25" customHeight="1" thickBot="1">
      <c r="A330" s="225"/>
      <c r="B330" s="226"/>
      <c r="C330" s="227" t="s">
        <v>113</v>
      </c>
      <c r="D330" s="226"/>
      <c r="E330" s="416"/>
      <c r="F330" s="417"/>
      <c r="G330" s="230">
        <f>SUBTOTAL(9,G322:G329)</f>
        <v>0</v>
      </c>
    </row>
    <row r="331" spans="1:7" ht="13" thickBot="1">
      <c r="A331" s="179"/>
      <c r="B331" s="180"/>
      <c r="C331" s="180"/>
      <c r="D331" s="180"/>
      <c r="E331" s="180"/>
      <c r="F331" s="180"/>
      <c r="G331" s="396"/>
    </row>
    <row r="332" spans="1:20" s="80" customFormat="1" ht="17.25" customHeight="1" thickBot="1">
      <c r="A332" s="182" t="s">
        <v>406</v>
      </c>
      <c r="B332" s="183"/>
      <c r="C332" s="184" t="s">
        <v>1259</v>
      </c>
      <c r="D332" s="185"/>
      <c r="E332" s="186"/>
      <c r="F332" s="187"/>
      <c r="G332" s="188"/>
      <c r="H332" s="77"/>
      <c r="I332" s="77"/>
      <c r="J332" s="77"/>
      <c r="K332" s="77"/>
      <c r="L332" s="77"/>
      <c r="M332" s="77"/>
      <c r="N332" s="78"/>
      <c r="O332" s="79"/>
      <c r="P332" s="79"/>
      <c r="Q332" s="79"/>
      <c r="R332" s="79"/>
      <c r="S332" s="79"/>
      <c r="T332" s="79"/>
    </row>
    <row r="333" spans="1:20" s="80" customFormat="1" ht="12.75">
      <c r="A333" s="189"/>
      <c r="B333" s="231"/>
      <c r="C333" s="232"/>
      <c r="D333" s="233"/>
      <c r="E333" s="234"/>
      <c r="F333" s="235"/>
      <c r="G333" s="236"/>
      <c r="H333" s="77"/>
      <c r="I333" s="77"/>
      <c r="J333" s="77"/>
      <c r="K333" s="77"/>
      <c r="L333" s="77"/>
      <c r="M333" s="77"/>
      <c r="N333" s="78"/>
      <c r="O333" s="79"/>
      <c r="P333" s="79"/>
      <c r="Q333" s="79"/>
      <c r="R333" s="79"/>
      <c r="S333" s="79"/>
      <c r="T333" s="79"/>
    </row>
    <row r="334" spans="1:20" s="204" customFormat="1" ht="18.75" customHeight="1">
      <c r="A334" s="455" t="s">
        <v>407</v>
      </c>
      <c r="B334" s="305" t="s">
        <v>200</v>
      </c>
      <c r="C334" s="306" t="s">
        <v>1429</v>
      </c>
      <c r="D334" s="305" t="s">
        <v>46</v>
      </c>
      <c r="E334" s="199">
        <f>E335</f>
        <v>82.5</v>
      </c>
      <c r="F334" s="199"/>
      <c r="G334" s="200">
        <f>E334*F334</f>
        <v>0</v>
      </c>
      <c r="H334" s="85">
        <v>0.0015</v>
      </c>
      <c r="I334" s="201">
        <f>E334*H334</f>
        <v>0.12375</v>
      </c>
      <c r="J334" s="85">
        <v>0</v>
      </c>
      <c r="K334" s="85">
        <f>E334*J334</f>
        <v>0</v>
      </c>
      <c r="L334" s="85"/>
      <c r="M334" s="85"/>
      <c r="N334" s="202"/>
      <c r="O334" s="203"/>
      <c r="P334" s="203"/>
      <c r="Q334" s="203"/>
      <c r="R334" s="203"/>
      <c r="S334" s="203"/>
      <c r="T334" s="203"/>
    </row>
    <row r="335" spans="1:20" s="204" customFormat="1" ht="34.5" customHeight="1">
      <c r="A335" s="455" t="s">
        <v>408</v>
      </c>
      <c r="B335" s="305" t="s">
        <v>1430</v>
      </c>
      <c r="C335" s="306" t="s">
        <v>1431</v>
      </c>
      <c r="D335" s="305" t="s">
        <v>46</v>
      </c>
      <c r="E335" s="199">
        <f>SUM(D336:D337)</f>
        <v>82.5</v>
      </c>
      <c r="F335" s="199"/>
      <c r="G335" s="200">
        <f>E335*F335</f>
        <v>0</v>
      </c>
      <c r="H335" s="85">
        <v>0.009</v>
      </c>
      <c r="I335" s="201">
        <f>E335*H335</f>
        <v>0.7424999999999999</v>
      </c>
      <c r="J335" s="85">
        <v>0</v>
      </c>
      <c r="K335" s="85">
        <f>E335*J335</f>
        <v>0</v>
      </c>
      <c r="L335" s="85"/>
      <c r="M335" s="85"/>
      <c r="N335" s="202"/>
      <c r="O335" s="203"/>
      <c r="P335" s="203"/>
      <c r="Q335" s="203"/>
      <c r="R335" s="203"/>
      <c r="S335" s="203"/>
      <c r="T335" s="203"/>
    </row>
    <row r="336" spans="1:14" s="595" customFormat="1" ht="21.75" customHeight="1">
      <c r="A336" s="683"/>
      <c r="B336" s="686" t="s">
        <v>1621</v>
      </c>
      <c r="C336" s="687" t="s">
        <v>1620</v>
      </c>
      <c r="D336" s="685">
        <f>(7+2+2.3+1.8)*2.6+1.5*0.6+0.9*0.6</f>
        <v>35.5</v>
      </c>
      <c r="E336" s="688"/>
      <c r="F336" s="688"/>
      <c r="G336" s="689"/>
      <c r="H336" s="593"/>
      <c r="I336" s="593"/>
      <c r="J336" s="593"/>
      <c r="K336" s="593"/>
      <c r="L336" s="593"/>
      <c r="M336" s="593"/>
      <c r="N336" s="594"/>
    </row>
    <row r="337" spans="1:14" s="595" customFormat="1" ht="21.75" customHeight="1">
      <c r="A337" s="683"/>
      <c r="B337" s="686" t="s">
        <v>1622</v>
      </c>
      <c r="C337" s="687" t="s">
        <v>1623</v>
      </c>
      <c r="D337" s="685">
        <f>(4.6+18.9)*2</f>
        <v>47</v>
      </c>
      <c r="E337" s="688"/>
      <c r="F337" s="688"/>
      <c r="G337" s="689"/>
      <c r="H337" s="593"/>
      <c r="I337" s="593"/>
      <c r="J337" s="593"/>
      <c r="K337" s="593"/>
      <c r="L337" s="593"/>
      <c r="M337" s="593"/>
      <c r="N337" s="594"/>
    </row>
    <row r="338" spans="1:20" s="204" customFormat="1" ht="18.75" customHeight="1">
      <c r="A338" s="455" t="s">
        <v>409</v>
      </c>
      <c r="B338" s="305" t="s">
        <v>1502</v>
      </c>
      <c r="C338" s="306" t="s">
        <v>1500</v>
      </c>
      <c r="D338" s="305" t="s">
        <v>46</v>
      </c>
      <c r="E338" s="199">
        <f>SUM(D339)</f>
        <v>86.695</v>
      </c>
      <c r="F338" s="199"/>
      <c r="G338" s="200">
        <f>E338*F338</f>
        <v>0</v>
      </c>
      <c r="H338" s="85">
        <v>0.02</v>
      </c>
      <c r="I338" s="201">
        <f>E338*H338</f>
        <v>1.7339</v>
      </c>
      <c r="J338" s="85">
        <v>0</v>
      </c>
      <c r="K338" s="85">
        <f>E338*J338</f>
        <v>0</v>
      </c>
      <c r="L338" s="85"/>
      <c r="M338" s="85"/>
      <c r="N338" s="202"/>
      <c r="O338" s="203"/>
      <c r="P338" s="203"/>
      <c r="Q338" s="203"/>
      <c r="R338" s="203"/>
      <c r="S338" s="203"/>
      <c r="T338" s="203"/>
    </row>
    <row r="339" spans="1:14" s="595" customFormat="1" ht="21.75" customHeight="1">
      <c r="A339" s="683"/>
      <c r="B339" s="686"/>
      <c r="C339" s="687" t="s">
        <v>1624</v>
      </c>
      <c r="D339" s="685">
        <f>82.5*1.05+0.07</f>
        <v>86.695</v>
      </c>
      <c r="E339" s="688"/>
      <c r="F339" s="688"/>
      <c r="G339" s="689"/>
      <c r="H339" s="593"/>
      <c r="I339" s="593"/>
      <c r="J339" s="593"/>
      <c r="K339" s="593"/>
      <c r="L339" s="593"/>
      <c r="M339" s="593"/>
      <c r="N339" s="594"/>
    </row>
    <row r="340" spans="1:20" s="204" customFormat="1" ht="22.5" customHeight="1">
      <c r="A340" s="455" t="s">
        <v>410</v>
      </c>
      <c r="B340" s="197" t="s">
        <v>206</v>
      </c>
      <c r="C340" s="136" t="s">
        <v>1263</v>
      </c>
      <c r="D340" s="198" t="s">
        <v>73</v>
      </c>
      <c r="E340" s="199">
        <f>I340</f>
        <v>2.60015</v>
      </c>
      <c r="F340" s="199"/>
      <c r="G340" s="200">
        <f>E340*F340</f>
        <v>0</v>
      </c>
      <c r="H340" s="201"/>
      <c r="I340" s="216">
        <f>SUM(I334:I339)</f>
        <v>2.60015</v>
      </c>
      <c r="J340" s="85"/>
      <c r="K340" s="85">
        <f>E340*J340</f>
        <v>0</v>
      </c>
      <c r="L340" s="85"/>
      <c r="M340" s="85"/>
      <c r="N340" s="202"/>
      <c r="O340" s="203"/>
      <c r="P340" s="203"/>
      <c r="Q340" s="203"/>
      <c r="R340" s="203"/>
      <c r="S340" s="203"/>
      <c r="T340" s="203"/>
    </row>
    <row r="341" spans="1:20" s="80" customFormat="1" ht="14" thickBot="1">
      <c r="A341" s="218"/>
      <c r="B341" s="219"/>
      <c r="C341" s="220"/>
      <c r="D341" s="221"/>
      <c r="E341" s="222"/>
      <c r="F341" s="223"/>
      <c r="G341" s="224"/>
      <c r="H341" s="77"/>
      <c r="I341" s="77"/>
      <c r="J341" s="77"/>
      <c r="K341" s="77"/>
      <c r="L341" s="77"/>
      <c r="M341" s="77"/>
      <c r="N341" s="78"/>
      <c r="O341" s="79"/>
      <c r="P341" s="79"/>
      <c r="Q341" s="79"/>
      <c r="R341" s="79"/>
      <c r="S341" s="79"/>
      <c r="T341" s="79"/>
    </row>
    <row r="342" spans="1:20" s="80" customFormat="1" ht="17.25" customHeight="1" thickBot="1">
      <c r="A342" s="225"/>
      <c r="B342" s="226"/>
      <c r="C342" s="227" t="s">
        <v>113</v>
      </c>
      <c r="D342" s="226"/>
      <c r="E342" s="228"/>
      <c r="F342" s="229"/>
      <c r="G342" s="230">
        <f>SUBTOTAL(9,G333:G341)</f>
        <v>0</v>
      </c>
      <c r="H342" s="77"/>
      <c r="I342" s="77"/>
      <c r="J342" s="77"/>
      <c r="K342" s="77"/>
      <c r="L342" s="77"/>
      <c r="M342" s="77"/>
      <c r="N342" s="78"/>
      <c r="O342" s="79"/>
      <c r="P342" s="79"/>
      <c r="Q342" s="79"/>
      <c r="R342" s="79"/>
      <c r="S342" s="79"/>
      <c r="T342" s="79"/>
    </row>
    <row r="343" spans="1:20" s="80" customFormat="1" ht="13" thickBot="1">
      <c r="A343" s="179"/>
      <c r="B343" s="180"/>
      <c r="C343" s="180"/>
      <c r="D343" s="180"/>
      <c r="E343" s="180"/>
      <c r="F343" s="180"/>
      <c r="G343" s="181"/>
      <c r="H343" s="77"/>
      <c r="I343" s="77"/>
      <c r="J343" s="77"/>
      <c r="K343" s="77"/>
      <c r="L343" s="77"/>
      <c r="M343" s="77"/>
      <c r="N343" s="78"/>
      <c r="O343" s="79"/>
      <c r="P343" s="79"/>
      <c r="Q343" s="79"/>
      <c r="R343" s="79"/>
      <c r="S343" s="79"/>
      <c r="T343" s="79"/>
    </row>
    <row r="344" spans="1:7" ht="13" thickBot="1">
      <c r="A344" s="182" t="s">
        <v>1645</v>
      </c>
      <c r="B344" s="183" t="s">
        <v>207</v>
      </c>
      <c r="C344" s="184" t="s">
        <v>281</v>
      </c>
      <c r="D344" s="397"/>
      <c r="E344" s="398"/>
      <c r="F344" s="187"/>
      <c r="G344" s="399"/>
    </row>
    <row r="345" spans="1:7" ht="12.75">
      <c r="A345" s="189"/>
      <c r="B345" s="400"/>
      <c r="C345" s="232"/>
      <c r="D345" s="233"/>
      <c r="E345" s="401"/>
      <c r="F345" s="402"/>
      <c r="G345" s="403"/>
    </row>
    <row r="346" spans="1:20" s="204" customFormat="1" ht="29.25" customHeight="1">
      <c r="A346" s="196" t="s">
        <v>1667</v>
      </c>
      <c r="B346" s="197" t="s">
        <v>212</v>
      </c>
      <c r="C346" s="136" t="s">
        <v>213</v>
      </c>
      <c r="D346" s="198" t="s">
        <v>46</v>
      </c>
      <c r="E346" s="199">
        <v>172.5</v>
      </c>
      <c r="F346" s="199"/>
      <c r="G346" s="200">
        <f>E346*F346</f>
        <v>0</v>
      </c>
      <c r="H346" s="201">
        <v>0</v>
      </c>
      <c r="I346" s="201">
        <f>E346*H346</f>
        <v>0</v>
      </c>
      <c r="J346" s="85">
        <v>0</v>
      </c>
      <c r="K346" s="85">
        <f>E346*J346</f>
        <v>0</v>
      </c>
      <c r="L346" s="85"/>
      <c r="M346" s="85"/>
      <c r="N346" s="202"/>
      <c r="O346" s="203"/>
      <c r="P346" s="203"/>
      <c r="Q346" s="203"/>
      <c r="R346" s="203"/>
      <c r="S346" s="203"/>
      <c r="T346" s="203"/>
    </row>
    <row r="347" spans="1:20" s="204" customFormat="1" ht="29.25" customHeight="1">
      <c r="A347" s="196" t="s">
        <v>1668</v>
      </c>
      <c r="B347" s="197" t="s">
        <v>215</v>
      </c>
      <c r="C347" s="136" t="s">
        <v>216</v>
      </c>
      <c r="D347" s="198" t="s">
        <v>46</v>
      </c>
      <c r="E347" s="199">
        <f>SUM(D348)</f>
        <v>29.203449999999997</v>
      </c>
      <c r="F347" s="199"/>
      <c r="G347" s="200">
        <f>E347*F347</f>
        <v>0</v>
      </c>
      <c r="H347" s="201">
        <v>0</v>
      </c>
      <c r="I347" s="201">
        <f>E347*H347</f>
        <v>0</v>
      </c>
      <c r="J347" s="85">
        <v>0</v>
      </c>
      <c r="K347" s="85">
        <f>E347*J347</f>
        <v>0</v>
      </c>
      <c r="L347" s="85"/>
      <c r="M347" s="85"/>
      <c r="N347" s="202"/>
      <c r="O347" s="203"/>
      <c r="P347" s="203"/>
      <c r="Q347" s="203"/>
      <c r="R347" s="203"/>
      <c r="S347" s="203"/>
      <c r="T347" s="203"/>
    </row>
    <row r="348" spans="1:14" s="595" customFormat="1" ht="17.25" customHeight="1">
      <c r="A348" s="683"/>
      <c r="B348" s="686"/>
      <c r="C348" s="687" t="s">
        <v>1643</v>
      </c>
      <c r="D348" s="685">
        <f>1.9*2.4*3+1.8*2.5+1.7*2+1.07*0.985*1+1.02*2.26*2+0.97*2.03*1-0.01</f>
        <v>29.203449999999997</v>
      </c>
      <c r="E348" s="688"/>
      <c r="F348" s="688"/>
      <c r="G348" s="689"/>
      <c r="H348" s="593"/>
      <c r="I348" s="593"/>
      <c r="J348" s="593"/>
      <c r="K348" s="593"/>
      <c r="L348" s="593"/>
      <c r="M348" s="593"/>
      <c r="N348" s="594"/>
    </row>
    <row r="349" spans="1:20" s="204" customFormat="1" ht="23.25" customHeight="1">
      <c r="A349" s="196" t="s">
        <v>1669</v>
      </c>
      <c r="B349" s="197" t="s">
        <v>218</v>
      </c>
      <c r="C349" s="136" t="s">
        <v>219</v>
      </c>
      <c r="D349" s="198" t="s">
        <v>46</v>
      </c>
      <c r="E349" s="199">
        <f>1.05*201.7+0.21</f>
        <v>211.995</v>
      </c>
      <c r="F349" s="199"/>
      <c r="G349" s="200">
        <f>E349*F349</f>
        <v>0</v>
      </c>
      <c r="H349" s="201">
        <v>0</v>
      </c>
      <c r="I349" s="201">
        <f>E349*H349</f>
        <v>0</v>
      </c>
      <c r="J349" s="85"/>
      <c r="K349" s="85">
        <f>E349*J349</f>
        <v>0</v>
      </c>
      <c r="L349" s="85"/>
      <c r="M349" s="85"/>
      <c r="N349" s="202"/>
      <c r="O349" s="203"/>
      <c r="P349" s="203"/>
      <c r="Q349" s="203"/>
      <c r="R349" s="203"/>
      <c r="S349" s="203"/>
      <c r="T349" s="203"/>
    </row>
    <row r="350" spans="1:20" s="244" customFormat="1" ht="21" customHeight="1">
      <c r="A350" s="196" t="s">
        <v>1670</v>
      </c>
      <c r="B350" s="197">
        <v>784121001</v>
      </c>
      <c r="C350" s="294" t="s">
        <v>1683</v>
      </c>
      <c r="D350" s="295" t="s">
        <v>46</v>
      </c>
      <c r="E350" s="404">
        <f>SUM(D351)</f>
        <v>181.7</v>
      </c>
      <c r="F350" s="404"/>
      <c r="G350" s="200">
        <f>E350*F350</f>
        <v>0</v>
      </c>
      <c r="H350" s="242">
        <v>0</v>
      </c>
      <c r="I350" s="242">
        <f>E350*H350</f>
        <v>0</v>
      </c>
      <c r="J350" s="243">
        <v>0.00031</v>
      </c>
      <c r="K350" s="243">
        <f>E350*J350</f>
        <v>0.056326999999999995</v>
      </c>
      <c r="L350" s="243"/>
      <c r="M350" s="243"/>
      <c r="N350" s="405"/>
      <c r="O350" s="406"/>
      <c r="P350" s="406"/>
      <c r="Q350" s="406"/>
      <c r="R350" s="406"/>
      <c r="S350" s="406"/>
      <c r="T350" s="406"/>
    </row>
    <row r="351" spans="1:20" s="596" customFormat="1" ht="19.5" customHeight="1">
      <c r="A351" s="683"/>
      <c r="B351" s="681"/>
      <c r="C351" s="678" t="s">
        <v>1722</v>
      </c>
      <c r="D351" s="685">
        <f>1.2+3.4+2.9+33.6+118.3+37.2*0.6-0.02</f>
        <v>181.7</v>
      </c>
      <c r="E351" s="679"/>
      <c r="F351" s="679"/>
      <c r="G351" s="680"/>
      <c r="H351" s="592"/>
      <c r="I351" s="592"/>
      <c r="J351" s="593"/>
      <c r="K351" s="593"/>
      <c r="L351" s="593"/>
      <c r="M351" s="593"/>
      <c r="N351" s="594"/>
      <c r="O351" s="595"/>
      <c r="P351" s="595"/>
      <c r="Q351" s="595"/>
      <c r="R351" s="595"/>
      <c r="S351" s="595"/>
      <c r="T351" s="595"/>
    </row>
    <row r="352" spans="1:20" s="244" customFormat="1" ht="21" customHeight="1">
      <c r="A352" s="196" t="s">
        <v>1671</v>
      </c>
      <c r="B352" s="197">
        <v>784121011</v>
      </c>
      <c r="C352" s="294" t="s">
        <v>1684</v>
      </c>
      <c r="D352" s="295" t="s">
        <v>46</v>
      </c>
      <c r="E352" s="404">
        <f>E350</f>
        <v>181.7</v>
      </c>
      <c r="F352" s="404"/>
      <c r="G352" s="200">
        <f>E352*F352</f>
        <v>0</v>
      </c>
      <c r="H352" s="242"/>
      <c r="I352" s="242"/>
      <c r="J352" s="243"/>
      <c r="K352" s="243"/>
      <c r="L352" s="243"/>
      <c r="M352" s="243"/>
      <c r="N352" s="405"/>
      <c r="O352" s="406"/>
      <c r="P352" s="406"/>
      <c r="Q352" s="406"/>
      <c r="R352" s="406"/>
      <c r="S352" s="406"/>
      <c r="T352" s="406"/>
    </row>
    <row r="353" spans="1:12" s="251" customFormat="1" ht="19.5" customHeight="1">
      <c r="A353" s="770"/>
      <c r="B353" s="771"/>
      <c r="C353" s="772"/>
      <c r="D353" s="727"/>
      <c r="E353" s="773"/>
      <c r="F353" s="774"/>
      <c r="G353" s="775"/>
      <c r="H353" s="250"/>
      <c r="I353" s="250"/>
      <c r="J353" s="250"/>
      <c r="K353" s="250"/>
      <c r="L353" s="250"/>
    </row>
    <row r="354" spans="1:20" s="204" customFormat="1" ht="21" customHeight="1">
      <c r="A354" s="196" t="s">
        <v>1672</v>
      </c>
      <c r="B354" s="197" t="s">
        <v>221</v>
      </c>
      <c r="C354" s="136" t="s">
        <v>222</v>
      </c>
      <c r="D354" s="198" t="s">
        <v>46</v>
      </c>
      <c r="E354" s="669">
        <f>SUM(D355)</f>
        <v>406</v>
      </c>
      <c r="F354" s="199"/>
      <c r="G354" s="200">
        <f>E354*F354</f>
        <v>0</v>
      </c>
      <c r="H354" s="201">
        <v>0.00021</v>
      </c>
      <c r="I354" s="201">
        <f>E354*H354</f>
        <v>0.08526</v>
      </c>
      <c r="J354" s="85">
        <v>0</v>
      </c>
      <c r="K354" s="85">
        <f>E354*J354</f>
        <v>0</v>
      </c>
      <c r="L354" s="85"/>
      <c r="M354" s="85"/>
      <c r="N354" s="202"/>
      <c r="O354" s="203"/>
      <c r="P354" s="203"/>
      <c r="Q354" s="203"/>
      <c r="R354" s="203"/>
      <c r="S354" s="203"/>
      <c r="T354" s="203"/>
    </row>
    <row r="355" spans="1:20" s="596" customFormat="1" ht="19.5" customHeight="1">
      <c r="A355" s="770"/>
      <c r="B355" s="681"/>
      <c r="C355" s="678" t="s">
        <v>1644</v>
      </c>
      <c r="D355" s="685">
        <f>43.8*2+25.7*1+10.2*3.5+7.4*2.6+7.5*2.6+4.4*3+12.5*2.6+172.5+0.06</f>
        <v>406</v>
      </c>
      <c r="E355" s="679"/>
      <c r="F355" s="679"/>
      <c r="G355" s="680"/>
      <c r="H355" s="592"/>
      <c r="I355" s="592"/>
      <c r="J355" s="593"/>
      <c r="K355" s="593"/>
      <c r="L355" s="593"/>
      <c r="M355" s="593"/>
      <c r="N355" s="594"/>
      <c r="O355" s="595"/>
      <c r="P355" s="595"/>
      <c r="Q355" s="595"/>
      <c r="R355" s="595"/>
      <c r="S355" s="595"/>
      <c r="T355" s="595"/>
    </row>
    <row r="356" spans="1:20" s="204" customFormat="1" ht="25.5" customHeight="1">
      <c r="A356" s="196" t="s">
        <v>1723</v>
      </c>
      <c r="B356" s="197" t="s">
        <v>224</v>
      </c>
      <c r="C356" s="136" t="s">
        <v>225</v>
      </c>
      <c r="D356" s="198" t="s">
        <v>46</v>
      </c>
      <c r="E356" s="199">
        <f>E354</f>
        <v>406</v>
      </c>
      <c r="F356" s="199"/>
      <c r="G356" s="200">
        <f>E356*F356</f>
        <v>0</v>
      </c>
      <c r="H356" s="201">
        <v>0.00021</v>
      </c>
      <c r="I356" s="201">
        <f>E356*H356</f>
        <v>0.08526</v>
      </c>
      <c r="J356" s="85">
        <v>0</v>
      </c>
      <c r="K356" s="85">
        <f>E356*J356</f>
        <v>0</v>
      </c>
      <c r="L356" s="85"/>
      <c r="M356" s="85"/>
      <c r="N356" s="202"/>
      <c r="O356" s="203"/>
      <c r="P356" s="203"/>
      <c r="Q356" s="203"/>
      <c r="R356" s="203"/>
      <c r="S356" s="203"/>
      <c r="T356" s="203"/>
    </row>
    <row r="357" spans="1:20" s="204" customFormat="1" ht="28.5" customHeight="1">
      <c r="A357" s="196" t="s">
        <v>1724</v>
      </c>
      <c r="B357" s="197" t="s">
        <v>227</v>
      </c>
      <c r="C357" s="136" t="s">
        <v>1727</v>
      </c>
      <c r="D357" s="198" t="s">
        <v>46</v>
      </c>
      <c r="E357" s="199">
        <f>E356</f>
        <v>406</v>
      </c>
      <c r="F357" s="199"/>
      <c r="G357" s="200">
        <f>E357*F357</f>
        <v>0</v>
      </c>
      <c r="H357" s="201">
        <v>0.00028</v>
      </c>
      <c r="I357" s="201">
        <f>E357*H357</f>
        <v>0.11367999999999999</v>
      </c>
      <c r="J357" s="85">
        <v>0</v>
      </c>
      <c r="K357" s="85">
        <f>E357*J357</f>
        <v>0</v>
      </c>
      <c r="L357" s="85"/>
      <c r="M357" s="85"/>
      <c r="N357" s="202"/>
      <c r="O357" s="203"/>
      <c r="P357" s="203"/>
      <c r="Q357" s="203"/>
      <c r="R357" s="203"/>
      <c r="S357" s="203"/>
      <c r="T357" s="203"/>
    </row>
    <row r="358" spans="1:7" ht="14" thickBot="1">
      <c r="A358" s="218"/>
      <c r="B358" s="412"/>
      <c r="C358" s="220"/>
      <c r="D358" s="221"/>
      <c r="E358" s="413"/>
      <c r="F358" s="414"/>
      <c r="G358" s="415"/>
    </row>
    <row r="359" spans="1:7" s="327" customFormat="1" ht="18" customHeight="1" thickBot="1">
      <c r="A359" s="225"/>
      <c r="B359" s="226"/>
      <c r="C359" s="227" t="s">
        <v>113</v>
      </c>
      <c r="D359" s="226"/>
      <c r="E359" s="416"/>
      <c r="F359" s="417"/>
      <c r="G359" s="230">
        <f>SUBTOTAL(9,G345:G358)</f>
        <v>0</v>
      </c>
    </row>
    <row r="360" spans="1:7" s="327" customFormat="1" ht="13" thickBot="1">
      <c r="A360" s="179"/>
      <c r="B360" s="180"/>
      <c r="C360" s="180"/>
      <c r="D360" s="180"/>
      <c r="E360" s="180"/>
      <c r="F360" s="180"/>
      <c r="G360" s="396"/>
    </row>
    <row r="361" spans="1:7" ht="13" thickBot="1">
      <c r="A361" s="182" t="s">
        <v>1646</v>
      </c>
      <c r="B361" s="183">
        <v>9</v>
      </c>
      <c r="C361" s="184" t="s">
        <v>229</v>
      </c>
      <c r="D361" s="397"/>
      <c r="E361" s="398"/>
      <c r="F361" s="187"/>
      <c r="G361" s="399"/>
    </row>
    <row r="362" spans="1:7" ht="12.75">
      <c r="A362" s="189"/>
      <c r="B362" s="400"/>
      <c r="C362" s="232"/>
      <c r="D362" s="233"/>
      <c r="E362" s="401"/>
      <c r="F362" s="402"/>
      <c r="G362" s="403"/>
    </row>
    <row r="363" spans="1:20" s="204" customFormat="1" ht="22">
      <c r="A363" s="196" t="s">
        <v>1673</v>
      </c>
      <c r="B363" s="305">
        <v>763121411</v>
      </c>
      <c r="C363" s="306" t="s">
        <v>1504</v>
      </c>
      <c r="D363" s="198" t="s">
        <v>46</v>
      </c>
      <c r="E363" s="199">
        <f>SUM(D364)</f>
        <v>14.5</v>
      </c>
      <c r="F363" s="199"/>
      <c r="G363" s="200">
        <f>E363*F363</f>
        <v>0</v>
      </c>
      <c r="H363" s="201">
        <v>0.011820000000000002</v>
      </c>
      <c r="I363" s="201">
        <f>E363*H363</f>
        <v>0.17139000000000004</v>
      </c>
      <c r="J363" s="85">
        <v>0</v>
      </c>
      <c r="K363" s="85">
        <f>E363*J363</f>
        <v>0</v>
      </c>
      <c r="L363" s="85"/>
      <c r="M363" s="85"/>
      <c r="N363" s="202"/>
      <c r="O363" s="203"/>
      <c r="P363" s="203"/>
      <c r="Q363" s="203"/>
      <c r="R363" s="203"/>
      <c r="S363" s="203"/>
      <c r="T363" s="203"/>
    </row>
    <row r="364" spans="1:12" s="251" customFormat="1" ht="17.25" customHeight="1">
      <c r="A364" s="196"/>
      <c r="B364" s="205"/>
      <c r="C364" s="245" t="s">
        <v>1642</v>
      </c>
      <c r="D364" s="246">
        <f>2.5*2.2+3*3</f>
        <v>14.5</v>
      </c>
      <c r="E364" s="247"/>
      <c r="F364" s="247"/>
      <c r="G364" s="248"/>
      <c r="H364" s="249"/>
      <c r="I364" s="250"/>
      <c r="J364" s="250"/>
      <c r="K364" s="250"/>
      <c r="L364" s="250"/>
    </row>
    <row r="365" spans="1:20" s="204" customFormat="1" ht="22.5" customHeight="1">
      <c r="A365" s="196" t="s">
        <v>1674</v>
      </c>
      <c r="B365" s="305">
        <v>763121811</v>
      </c>
      <c r="C365" s="306" t="s">
        <v>233</v>
      </c>
      <c r="D365" s="305" t="s">
        <v>46</v>
      </c>
      <c r="E365" s="199">
        <f>E363</f>
        <v>14.5</v>
      </c>
      <c r="F365" s="199"/>
      <c r="G365" s="200">
        <f>E365*F365</f>
        <v>0</v>
      </c>
      <c r="H365" s="85">
        <v>0</v>
      </c>
      <c r="I365" s="201">
        <f>E365*H365</f>
        <v>0</v>
      </c>
      <c r="J365" s="85">
        <v>0.01725</v>
      </c>
      <c r="K365" s="85">
        <f>E365*J365</f>
        <v>0.25012500000000004</v>
      </c>
      <c r="L365" s="85"/>
      <c r="M365" s="85"/>
      <c r="N365" s="202"/>
      <c r="O365" s="203"/>
      <c r="P365" s="203"/>
      <c r="Q365" s="203"/>
      <c r="R365" s="203"/>
      <c r="S365" s="203"/>
      <c r="T365" s="203"/>
    </row>
    <row r="366" spans="1:20" s="204" customFormat="1" ht="29.25" customHeight="1">
      <c r="A366" s="196" t="s">
        <v>1675</v>
      </c>
      <c r="B366" s="197">
        <v>784191003</v>
      </c>
      <c r="C366" s="136" t="s">
        <v>1505</v>
      </c>
      <c r="D366" s="198" t="s">
        <v>46</v>
      </c>
      <c r="E366" s="199">
        <f>SUM(D367)</f>
        <v>29.203449999999997</v>
      </c>
      <c r="F366" s="199"/>
      <c r="G366" s="200">
        <f>E366*F366</f>
        <v>0</v>
      </c>
      <c r="H366" s="201">
        <v>1E-05</v>
      </c>
      <c r="I366" s="201">
        <f>E366*H366</f>
        <v>0.0002920345</v>
      </c>
      <c r="J366" s="85">
        <v>0</v>
      </c>
      <c r="K366" s="85">
        <f>E366*J366</f>
        <v>0</v>
      </c>
      <c r="L366" s="85"/>
      <c r="M366" s="85"/>
      <c r="N366" s="202"/>
      <c r="O366" s="203"/>
      <c r="P366" s="203"/>
      <c r="Q366" s="203"/>
      <c r="R366" s="203"/>
      <c r="S366" s="203"/>
      <c r="T366" s="203"/>
    </row>
    <row r="367" spans="1:14" s="595" customFormat="1" ht="17.25" customHeight="1">
      <c r="A367" s="683"/>
      <c r="B367" s="686"/>
      <c r="C367" s="687" t="s">
        <v>1643</v>
      </c>
      <c r="D367" s="685">
        <f>1.9*2.4*3+1.8*2.5+1.7*2+1.07*0.985*1+1.02*2.26*2+0.97*2.03*1-0.01</f>
        <v>29.203449999999997</v>
      </c>
      <c r="E367" s="688"/>
      <c r="F367" s="688"/>
      <c r="G367" s="689"/>
      <c r="H367" s="593"/>
      <c r="I367" s="593"/>
      <c r="J367" s="593"/>
      <c r="K367" s="593"/>
      <c r="L367" s="593"/>
      <c r="M367" s="593"/>
      <c r="N367" s="594"/>
    </row>
    <row r="368" spans="1:20" s="204" customFormat="1" ht="24" customHeight="1">
      <c r="A368" s="196" t="s">
        <v>1676</v>
      </c>
      <c r="B368" s="197" t="s">
        <v>238</v>
      </c>
      <c r="C368" s="136" t="s">
        <v>1506</v>
      </c>
      <c r="D368" s="198" t="s">
        <v>46</v>
      </c>
      <c r="E368" s="199">
        <v>172.5</v>
      </c>
      <c r="F368" s="199"/>
      <c r="G368" s="200">
        <f>E368*F368</f>
        <v>0</v>
      </c>
      <c r="H368" s="201">
        <v>1E-05</v>
      </c>
      <c r="I368" s="201">
        <f>E368*H368</f>
        <v>0.0017250000000000002</v>
      </c>
      <c r="J368" s="85">
        <v>0</v>
      </c>
      <c r="K368" s="85">
        <f>E368*J368</f>
        <v>0</v>
      </c>
      <c r="L368" s="85"/>
      <c r="M368" s="85"/>
      <c r="N368" s="202"/>
      <c r="O368" s="203"/>
      <c r="P368" s="203"/>
      <c r="Q368" s="203"/>
      <c r="R368" s="203"/>
      <c r="S368" s="203"/>
      <c r="T368" s="203"/>
    </row>
    <row r="369" spans="1:20" s="204" customFormat="1" ht="18.75" customHeight="1">
      <c r="A369" s="196" t="s">
        <v>1677</v>
      </c>
      <c r="B369" s="305" t="s">
        <v>1507</v>
      </c>
      <c r="C369" s="306" t="s">
        <v>242</v>
      </c>
      <c r="D369" s="305" t="s">
        <v>243</v>
      </c>
      <c r="E369" s="199">
        <v>60</v>
      </c>
      <c r="F369" s="199"/>
      <c r="G369" s="200">
        <f>E369*F369</f>
        <v>0</v>
      </c>
      <c r="H369" s="85"/>
      <c r="I369" s="201"/>
      <c r="J369" s="85"/>
      <c r="K369" s="85"/>
      <c r="L369" s="85"/>
      <c r="M369" s="85"/>
      <c r="N369" s="202"/>
      <c r="O369" s="203"/>
      <c r="P369" s="203"/>
      <c r="Q369" s="203"/>
      <c r="R369" s="203"/>
      <c r="S369" s="203"/>
      <c r="T369" s="203"/>
    </row>
    <row r="370" spans="1:20" s="204" customFormat="1" ht="32.25" customHeight="1">
      <c r="A370" s="196" t="s">
        <v>1678</v>
      </c>
      <c r="B370" s="197" t="s">
        <v>1508</v>
      </c>
      <c r="C370" s="167" t="s">
        <v>1509</v>
      </c>
      <c r="D370" s="197" t="s">
        <v>46</v>
      </c>
      <c r="E370" s="199">
        <v>172.5</v>
      </c>
      <c r="F370" s="199"/>
      <c r="G370" s="200">
        <f>E370*F370</f>
        <v>0</v>
      </c>
      <c r="H370" s="85"/>
      <c r="I370" s="201"/>
      <c r="J370" s="85"/>
      <c r="K370" s="85"/>
      <c r="L370" s="85"/>
      <c r="M370" s="85"/>
      <c r="N370" s="202"/>
      <c r="O370" s="203"/>
      <c r="P370" s="203"/>
      <c r="Q370" s="203"/>
      <c r="R370" s="203"/>
      <c r="S370" s="203"/>
      <c r="T370" s="203"/>
    </row>
    <row r="371" spans="1:12" s="244" customFormat="1" ht="13">
      <c r="A371" s="286"/>
      <c r="B371" s="412"/>
      <c r="C371" s="220"/>
      <c r="D371" s="221"/>
      <c r="E371" s="414"/>
      <c r="F371" s="414"/>
      <c r="G371" s="418"/>
      <c r="H371" s="241"/>
      <c r="I371" s="241"/>
      <c r="J371" s="241"/>
      <c r="K371" s="241"/>
      <c r="L371" s="241"/>
    </row>
    <row r="372" spans="1:12" s="314" customFormat="1" ht="44.25" customHeight="1">
      <c r="A372" s="196" t="s">
        <v>1679</v>
      </c>
      <c r="B372" s="748"/>
      <c r="C372" s="308" t="s">
        <v>247</v>
      </c>
      <c r="D372" s="309"/>
      <c r="E372" s="310"/>
      <c r="F372" s="310"/>
      <c r="G372" s="311">
        <f>$E372*F372</f>
        <v>0</v>
      </c>
      <c r="H372" s="312"/>
      <c r="I372" s="312"/>
      <c r="J372" s="313"/>
      <c r="K372" s="313"/>
      <c r="L372" s="312"/>
    </row>
    <row r="373" spans="1:7" s="327" customFormat="1" ht="13" thickBot="1">
      <c r="A373" s="298"/>
      <c r="B373" s="153"/>
      <c r="C373" s="299"/>
      <c r="D373" s="153"/>
      <c r="E373" s="450"/>
      <c r="F373" s="451"/>
      <c r="G373" s="452"/>
    </row>
    <row r="374" spans="1:7" ht="18" customHeight="1" thickBot="1">
      <c r="A374" s="225"/>
      <c r="B374" s="226"/>
      <c r="C374" s="227" t="s">
        <v>113</v>
      </c>
      <c r="D374" s="226"/>
      <c r="E374" s="416"/>
      <c r="F374" s="417"/>
      <c r="G374" s="230">
        <f>SUBTOTAL(9,G362:G373)</f>
        <v>0</v>
      </c>
    </row>
    <row r="375" spans="1:7" ht="13" thickBot="1">
      <c r="A375" s="179"/>
      <c r="B375" s="180"/>
      <c r="C375" s="180"/>
      <c r="D375" s="180"/>
      <c r="E375" s="180"/>
      <c r="F375" s="180"/>
      <c r="G375" s="396"/>
    </row>
    <row r="376" spans="1:7" s="327" customFormat="1" ht="27.75" customHeight="1" thickBot="1">
      <c r="A376" s="453"/>
      <c r="B376" s="316"/>
      <c r="C376" s="317" t="s">
        <v>38</v>
      </c>
      <c r="D376" s="454"/>
      <c r="E376" s="454"/>
      <c r="F376" s="454"/>
      <c r="G376" s="319">
        <f>SUBTOTAL(9,G36:G375)</f>
        <v>0</v>
      </c>
    </row>
    <row r="378" spans="1:7" s="327" customFormat="1" ht="12.75">
      <c r="A378" s="322"/>
      <c r="B378" s="323"/>
      <c r="C378" s="323"/>
      <c r="D378" s="325"/>
      <c r="E378" s="326"/>
      <c r="F378" s="326"/>
      <c r="G378" s="328"/>
    </row>
    <row r="379" spans="1:7" s="327" customFormat="1" ht="12.75">
      <c r="A379" s="322"/>
      <c r="B379" s="323"/>
      <c r="C379" s="323"/>
      <c r="D379" s="325"/>
      <c r="E379" s="326"/>
      <c r="F379" s="326"/>
      <c r="G379" s="328"/>
    </row>
    <row r="380" spans="1:7" s="327" customFormat="1" ht="12.75">
      <c r="A380" s="322"/>
      <c r="B380" s="323"/>
      <c r="C380" s="323"/>
      <c r="D380" s="325"/>
      <c r="E380" s="326"/>
      <c r="F380" s="326"/>
      <c r="G380" s="328"/>
    </row>
    <row r="381" spans="1:7" s="327" customFormat="1" ht="12.75">
      <c r="A381" s="322"/>
      <c r="B381" s="323"/>
      <c r="C381" s="323"/>
      <c r="D381" s="325"/>
      <c r="E381" s="326"/>
      <c r="F381" s="326"/>
      <c r="G381" s="328"/>
    </row>
    <row r="382" spans="1:7" s="327" customFormat="1" ht="12.75">
      <c r="A382" s="322"/>
      <c r="B382" s="323"/>
      <c r="C382" s="323"/>
      <c r="D382" s="325"/>
      <c r="E382" s="326"/>
      <c r="F382" s="326"/>
      <c r="G382" s="328"/>
    </row>
    <row r="383" spans="1:7" s="327" customFormat="1" ht="12.75">
      <c r="A383" s="322"/>
      <c r="B383" s="323"/>
      <c r="C383" s="323"/>
      <c r="D383" s="325"/>
      <c r="E383" s="326"/>
      <c r="F383" s="326"/>
      <c r="G383" s="328"/>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T243"/>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322" customWidth="1"/>
    <col min="2" max="2" width="16.421875" style="323" customWidth="1"/>
    <col min="3" max="3" width="61.421875" style="324" customWidth="1"/>
    <col min="4" max="4" width="10.421875" style="323" customWidth="1"/>
    <col min="5" max="5" width="11.421875" style="325" customWidth="1"/>
    <col min="6" max="6" width="13.421875" style="326" customWidth="1"/>
    <col min="7" max="7" width="20.00390625" style="326" customWidth="1"/>
    <col min="8" max="8" width="11.421875" style="327" customWidth="1"/>
    <col min="9" max="9" width="10.8515625" style="327" customWidth="1"/>
    <col min="10" max="10" width="10.28125" style="327" customWidth="1"/>
    <col min="11" max="11" width="10.421875" style="327" customWidth="1"/>
    <col min="12" max="12" width="8.8515625" style="327" customWidth="1"/>
    <col min="13" max="16384" width="8.8515625" style="328" customWidth="1"/>
  </cols>
  <sheetData>
    <row r="1" spans="1:8" ht="60" customHeight="1">
      <c r="A1" s="329"/>
      <c r="B1" s="330" t="s">
        <v>16</v>
      </c>
      <c r="C1" s="2" t="s">
        <v>1</v>
      </c>
      <c r="D1" s="2"/>
      <c r="E1" s="84"/>
      <c r="F1" s="1415" t="s">
        <v>2</v>
      </c>
      <c r="G1" s="1415"/>
      <c r="H1" s="241"/>
    </row>
    <row r="2" spans="1:8" ht="54.5" customHeight="1">
      <c r="A2" s="331"/>
      <c r="B2" s="332" t="s">
        <v>3</v>
      </c>
      <c r="C2" s="6" t="s">
        <v>2172</v>
      </c>
      <c r="D2" s="6"/>
      <c r="E2" s="89"/>
      <c r="F2" s="1416"/>
      <c r="G2" s="1416"/>
      <c r="H2" s="241"/>
    </row>
    <row r="3" spans="1:7" ht="50" customHeight="1">
      <c r="A3" s="331"/>
      <c r="B3" s="332" t="s">
        <v>17</v>
      </c>
      <c r="C3" s="8" t="s">
        <v>1344</v>
      </c>
      <c r="D3" s="89"/>
      <c r="E3" s="89"/>
      <c r="F3" s="1417" t="s">
        <v>1647</v>
      </c>
      <c r="G3" s="1417"/>
    </row>
    <row r="4" spans="1:7" ht="60.75" customHeight="1">
      <c r="A4" s="333"/>
      <c r="B4" s="334" t="s">
        <v>19</v>
      </c>
      <c r="C4" s="11" t="s">
        <v>1160</v>
      </c>
      <c r="D4" s="94"/>
      <c r="E4" s="94"/>
      <c r="F4" s="1418"/>
      <c r="G4" s="1418"/>
    </row>
    <row r="5" spans="1:8" ht="15" customHeight="1">
      <c r="A5" s="335"/>
      <c r="B5" s="336"/>
      <c r="C5" s="337"/>
      <c r="D5" s="338"/>
      <c r="E5" s="339"/>
      <c r="F5" s="340"/>
      <c r="G5" s="341"/>
      <c r="H5" s="342"/>
    </row>
    <row r="6" spans="1:12" s="351" customFormat="1" ht="11">
      <c r="A6" s="343" t="s">
        <v>20</v>
      </c>
      <c r="B6" s="344" t="s">
        <v>21</v>
      </c>
      <c r="C6" s="345" t="s">
        <v>22</v>
      </c>
      <c r="D6" s="344" t="s">
        <v>23</v>
      </c>
      <c r="E6" s="346" t="s">
        <v>24</v>
      </c>
      <c r="F6" s="347" t="s">
        <v>25</v>
      </c>
      <c r="G6" s="348" t="s">
        <v>26</v>
      </c>
      <c r="H6" s="349"/>
      <c r="I6" s="350"/>
      <c r="J6" s="350"/>
      <c r="K6" s="350"/>
      <c r="L6" s="350"/>
    </row>
    <row r="7" spans="1:12" s="351" customFormat="1" ht="5.25" customHeight="1">
      <c r="A7" s="352"/>
      <c r="B7" s="353"/>
      <c r="C7" s="354"/>
      <c r="D7" s="353"/>
      <c r="E7" s="355"/>
      <c r="F7" s="356"/>
      <c r="G7" s="357"/>
      <c r="H7" s="349"/>
      <c r="I7" s="350"/>
      <c r="J7" s="350"/>
      <c r="K7" s="350"/>
      <c r="L7" s="350"/>
    </row>
    <row r="8" spans="1:12" s="366" customFormat="1" ht="12.75">
      <c r="A8" s="358"/>
      <c r="B8" s="359"/>
      <c r="C8" s="360"/>
      <c r="D8" s="360"/>
      <c r="E8" s="361"/>
      <c r="F8" s="362"/>
      <c r="G8" s="363"/>
      <c r="H8" s="364"/>
      <c r="I8" s="365"/>
      <c r="J8" s="365"/>
      <c r="K8" s="365"/>
      <c r="L8" s="365"/>
    </row>
    <row r="9" spans="1:12" s="375" customFormat="1" ht="12.75">
      <c r="A9" s="367"/>
      <c r="B9" s="368"/>
      <c r="C9" s="369" t="s">
        <v>27</v>
      </c>
      <c r="D9" s="368"/>
      <c r="E9" s="370"/>
      <c r="F9" s="371"/>
      <c r="G9" s="372"/>
      <c r="H9" s="373"/>
      <c r="I9" s="374"/>
      <c r="J9" s="374"/>
      <c r="K9" s="374"/>
      <c r="L9" s="374"/>
    </row>
    <row r="10" spans="1:7" ht="56.25" customHeight="1" hidden="1">
      <c r="A10" s="376"/>
      <c r="B10" s="377"/>
      <c r="C10" s="294" t="s">
        <v>248</v>
      </c>
      <c r="D10" s="377"/>
      <c r="E10" s="378"/>
      <c r="F10" s="379"/>
      <c r="G10" s="380"/>
    </row>
    <row r="11" spans="1:7" ht="35.25" customHeight="1" hidden="1">
      <c r="A11" s="376"/>
      <c r="B11" s="377"/>
      <c r="C11" s="294" t="s">
        <v>249</v>
      </c>
      <c r="D11" s="377"/>
      <c r="E11" s="378"/>
      <c r="F11" s="379"/>
      <c r="G11" s="380"/>
    </row>
    <row r="12" spans="1:7" ht="30.75" customHeight="1" hidden="1">
      <c r="A12" s="376"/>
      <c r="B12" s="377"/>
      <c r="C12" s="294" t="s">
        <v>250</v>
      </c>
      <c r="D12" s="377"/>
      <c r="E12" s="378"/>
      <c r="F12" s="379"/>
      <c r="G12" s="380"/>
    </row>
    <row r="13" spans="1:7" ht="66" customHeight="1" hidden="1">
      <c r="A13" s="381"/>
      <c r="B13" s="382"/>
      <c r="C13" s="383" t="s">
        <v>251</v>
      </c>
      <c r="D13" s="382"/>
      <c r="E13" s="384"/>
      <c r="F13" s="385"/>
      <c r="G13" s="386"/>
    </row>
    <row r="14" spans="1:7" ht="63" customHeight="1" hidden="1">
      <c r="A14" s="387"/>
      <c r="B14" s="388"/>
      <c r="C14" s="389" t="s">
        <v>32</v>
      </c>
      <c r="D14" s="388"/>
      <c r="E14" s="390"/>
      <c r="F14" s="391"/>
      <c r="G14" s="392"/>
    </row>
    <row r="15" spans="1:7" ht="29.25" customHeight="1" hidden="1">
      <c r="A15" s="376"/>
      <c r="B15" s="377"/>
      <c r="C15" s="393" t="s">
        <v>252</v>
      </c>
      <c r="D15" s="377"/>
      <c r="E15" s="378"/>
      <c r="F15" s="379"/>
      <c r="G15" s="380"/>
    </row>
    <row r="16" spans="1:7" ht="36.75" customHeight="1" hidden="1">
      <c r="A16" s="376"/>
      <c r="B16" s="377"/>
      <c r="C16" s="393" t="s">
        <v>253</v>
      </c>
      <c r="D16" s="377"/>
      <c r="E16" s="378"/>
      <c r="F16" s="379"/>
      <c r="G16" s="380"/>
    </row>
    <row r="17" spans="1:7" ht="43.5" customHeight="1" hidden="1">
      <c r="A17" s="376"/>
      <c r="B17" s="377"/>
      <c r="C17" s="393" t="s">
        <v>254</v>
      </c>
      <c r="D17" s="377"/>
      <c r="E17" s="378"/>
      <c r="F17" s="379"/>
      <c r="G17" s="380"/>
    </row>
    <row r="18" spans="1:12" s="375" customFormat="1" ht="12.75">
      <c r="A18" s="367"/>
      <c r="B18" s="368"/>
      <c r="C18" s="151"/>
      <c r="D18" s="368"/>
      <c r="E18" s="370"/>
      <c r="F18" s="371"/>
      <c r="G18" s="372"/>
      <c r="H18" s="373"/>
      <c r="I18" s="374"/>
      <c r="J18" s="374"/>
      <c r="K18" s="374"/>
      <c r="L18" s="374"/>
    </row>
    <row r="19" spans="1:12" s="366" customFormat="1" ht="33" customHeight="1">
      <c r="A19" s="152"/>
      <c r="B19" s="153"/>
      <c r="C19" s="154" t="s">
        <v>36</v>
      </c>
      <c r="D19" s="153"/>
      <c r="E19" s="155"/>
      <c r="F19" s="156"/>
      <c r="G19" s="157"/>
      <c r="H19" s="364"/>
      <c r="I19" s="365"/>
      <c r="J19" s="365"/>
      <c r="K19" s="365"/>
      <c r="L19" s="365"/>
    </row>
    <row r="20" spans="1:12" s="366" customFormat="1" ht="22">
      <c r="A20" s="152"/>
      <c r="B20" s="153"/>
      <c r="C20" s="158" t="s">
        <v>37</v>
      </c>
      <c r="D20" s="153"/>
      <c r="E20" s="155"/>
      <c r="F20" s="156"/>
      <c r="G20" s="394"/>
      <c r="H20" s="364"/>
      <c r="I20" s="365"/>
      <c r="J20" s="365"/>
      <c r="K20" s="365"/>
      <c r="L20" s="365"/>
    </row>
    <row r="21" spans="1:12" s="366" customFormat="1" ht="17.75" customHeight="1">
      <c r="A21" s="160" t="str">
        <f>A33</f>
        <v>1</v>
      </c>
      <c r="B21" s="161"/>
      <c r="C21" s="162" t="str">
        <f>C33</f>
        <v>Bourací  práce</v>
      </c>
      <c r="D21" s="164"/>
      <c r="E21" s="164"/>
      <c r="F21" s="165"/>
      <c r="G21" s="395">
        <f>G73</f>
        <v>0</v>
      </c>
      <c r="H21" s="364"/>
      <c r="I21" s="365"/>
      <c r="J21" s="365"/>
      <c r="K21" s="365"/>
      <c r="L21" s="365"/>
    </row>
    <row r="22" spans="1:12" s="366" customFormat="1" ht="17.75" customHeight="1">
      <c r="A22" s="160" t="str">
        <f>A75</f>
        <v>2</v>
      </c>
      <c r="B22" s="161"/>
      <c r="C22" s="162" t="str">
        <f>C75</f>
        <v>Svislé konstrukce</v>
      </c>
      <c r="D22" s="164"/>
      <c r="E22" s="164"/>
      <c r="F22" s="165"/>
      <c r="G22" s="395">
        <f>G88</f>
        <v>0</v>
      </c>
      <c r="H22" s="364"/>
      <c r="I22" s="365"/>
      <c r="J22" s="365"/>
      <c r="K22" s="365"/>
      <c r="L22" s="365"/>
    </row>
    <row r="23" spans="1:12" s="366" customFormat="1" ht="17.75" customHeight="1">
      <c r="A23" s="742" t="str">
        <f>A90</f>
        <v>3</v>
      </c>
      <c r="B23" s="743"/>
      <c r="C23" s="744" t="str">
        <f>C90</f>
        <v>Vodorovné konstrukce</v>
      </c>
      <c r="D23" s="745"/>
      <c r="E23" s="745"/>
      <c r="F23" s="746"/>
      <c r="G23" s="747">
        <f>G96</f>
        <v>0</v>
      </c>
      <c r="H23" s="364"/>
      <c r="I23" s="365"/>
      <c r="J23" s="365"/>
      <c r="K23" s="365"/>
      <c r="L23" s="365"/>
    </row>
    <row r="24" spans="1:12" s="366" customFormat="1" ht="17.75" customHeight="1">
      <c r="A24" s="487" t="str">
        <f>A98</f>
        <v>4</v>
      </c>
      <c r="B24" s="161"/>
      <c r="C24" s="162" t="str">
        <f>C98</f>
        <v xml:space="preserve">Úpravy povrchů, stěny, stropy, podlahy </v>
      </c>
      <c r="D24" s="164"/>
      <c r="E24" s="164"/>
      <c r="F24" s="165"/>
      <c r="G24" s="395">
        <f>G166</f>
        <v>0</v>
      </c>
      <c r="H24" s="364"/>
      <c r="I24" s="365"/>
      <c r="J24" s="365"/>
      <c r="K24" s="365"/>
      <c r="L24" s="365"/>
    </row>
    <row r="25" spans="1:12" s="366" customFormat="1" ht="17.75" customHeight="1">
      <c r="A25" s="487" t="str">
        <f>A168</f>
        <v>5</v>
      </c>
      <c r="B25" s="161"/>
      <c r="C25" s="162" t="str">
        <f>C168</f>
        <v>Osazování výplní</v>
      </c>
      <c r="D25" s="164"/>
      <c r="E25" s="164"/>
      <c r="F25" s="165"/>
      <c r="G25" s="395">
        <f>G177</f>
        <v>0</v>
      </c>
      <c r="H25" s="364"/>
      <c r="I25" s="365"/>
      <c r="J25" s="365"/>
      <c r="K25" s="365"/>
      <c r="L25" s="365"/>
    </row>
    <row r="26" spans="1:12" s="366" customFormat="1" ht="17.75" customHeight="1">
      <c r="A26" s="160" t="str">
        <f>A179</f>
        <v>6</v>
      </c>
      <c r="B26" s="161"/>
      <c r="C26" s="162" t="str">
        <f>C179</f>
        <v>Přesun hmot</v>
      </c>
      <c r="D26" s="164"/>
      <c r="E26" s="164"/>
      <c r="F26" s="165"/>
      <c r="G26" s="395">
        <f>G183</f>
        <v>0</v>
      </c>
      <c r="H26" s="364"/>
      <c r="I26" s="365"/>
      <c r="J26" s="365"/>
      <c r="K26" s="365"/>
      <c r="L26" s="365"/>
    </row>
    <row r="27" spans="1:12" s="366" customFormat="1" ht="17.75" customHeight="1">
      <c r="A27" s="487" t="str">
        <f>A185</f>
        <v>7</v>
      </c>
      <c r="B27" s="161"/>
      <c r="C27" s="162" t="str">
        <f>C185</f>
        <v>Konstrukce truhlářské</v>
      </c>
      <c r="D27" s="164"/>
      <c r="E27" s="164"/>
      <c r="F27" s="165"/>
      <c r="G27" s="395">
        <f>G202</f>
        <v>0</v>
      </c>
      <c r="H27" s="364"/>
      <c r="I27" s="365"/>
      <c r="J27" s="365"/>
      <c r="K27" s="365"/>
      <c r="L27" s="365"/>
    </row>
    <row r="28" spans="1:12" s="366" customFormat="1" ht="17.75" customHeight="1">
      <c r="A28" s="487" t="str">
        <f>A204</f>
        <v>8</v>
      </c>
      <c r="B28" s="161"/>
      <c r="C28" s="162" t="str">
        <f>C204</f>
        <v>Malby</v>
      </c>
      <c r="D28" s="164"/>
      <c r="E28" s="164"/>
      <c r="F28" s="165"/>
      <c r="G28" s="395">
        <f>G219</f>
        <v>0</v>
      </c>
      <c r="H28" s="364"/>
      <c r="I28" s="365"/>
      <c r="J28" s="365"/>
      <c r="K28" s="365"/>
      <c r="L28" s="365"/>
    </row>
    <row r="29" spans="1:12" s="366" customFormat="1" ht="17.75" customHeight="1">
      <c r="A29" s="160" t="str">
        <f>A221</f>
        <v>9</v>
      </c>
      <c r="B29" s="161"/>
      <c r="C29" s="162" t="str">
        <f>C221</f>
        <v>Ostatní  práce a dodávky</v>
      </c>
      <c r="D29" s="164"/>
      <c r="E29" s="164"/>
      <c r="F29" s="165"/>
      <c r="G29" s="395">
        <f>G234</f>
        <v>0</v>
      </c>
      <c r="H29" s="364"/>
      <c r="I29" s="365"/>
      <c r="J29" s="365"/>
      <c r="K29" s="365"/>
      <c r="L29" s="365"/>
    </row>
    <row r="30" spans="1:7" ht="13" thickBot="1">
      <c r="A30" s="160"/>
      <c r="B30" s="153"/>
      <c r="C30" s="167"/>
      <c r="D30" s="153"/>
      <c r="E30" s="168"/>
      <c r="F30" s="156"/>
      <c r="G30" s="395"/>
    </row>
    <row r="31" spans="1:7" ht="21" customHeight="1">
      <c r="A31" s="170"/>
      <c r="B31" s="171"/>
      <c r="C31" s="172" t="s">
        <v>38</v>
      </c>
      <c r="D31" s="175"/>
      <c r="E31" s="174"/>
      <c r="F31" s="175"/>
      <c r="G31" s="176">
        <f>SUM(G21:G29)</f>
        <v>0</v>
      </c>
    </row>
    <row r="32" spans="1:7" ht="12.75">
      <c r="A32" s="179"/>
      <c r="B32" s="180"/>
      <c r="C32" s="180"/>
      <c r="D32" s="180"/>
      <c r="E32" s="180"/>
      <c r="F32" s="180"/>
      <c r="G32" s="396"/>
    </row>
    <row r="33" spans="1:12" s="366" customFormat="1" ht="18" customHeight="1">
      <c r="A33" s="182" t="s">
        <v>43</v>
      </c>
      <c r="B33" s="183"/>
      <c r="C33" s="184" t="s">
        <v>255</v>
      </c>
      <c r="D33" s="397"/>
      <c r="E33" s="398"/>
      <c r="F33" s="187"/>
      <c r="G33" s="399"/>
      <c r="H33" s="364"/>
      <c r="I33" s="365"/>
      <c r="J33" s="365"/>
      <c r="K33" s="365"/>
      <c r="L33" s="365"/>
    </row>
    <row r="34" spans="1:12" s="366" customFormat="1" ht="12.75" customHeight="1">
      <c r="A34" s="189"/>
      <c r="B34" s="400"/>
      <c r="C34" s="232"/>
      <c r="D34" s="233"/>
      <c r="E34" s="401"/>
      <c r="F34" s="402"/>
      <c r="G34" s="403"/>
      <c r="H34" s="364"/>
      <c r="I34" s="365"/>
      <c r="J34" s="365"/>
      <c r="K34" s="365"/>
      <c r="L34" s="365"/>
    </row>
    <row r="35" spans="1:12" s="244" customFormat="1" ht="42" customHeight="1">
      <c r="A35" s="196" t="s">
        <v>45</v>
      </c>
      <c r="B35" s="197" t="s">
        <v>256</v>
      </c>
      <c r="C35" s="294" t="s">
        <v>257</v>
      </c>
      <c r="D35" s="295" t="s">
        <v>161</v>
      </c>
      <c r="E35" s="296">
        <v>1</v>
      </c>
      <c r="F35" s="296"/>
      <c r="G35" s="240">
        <f>$E35*F35</f>
        <v>0</v>
      </c>
      <c r="H35" s="242"/>
      <c r="I35" s="241"/>
      <c r="J35" s="241"/>
      <c r="K35" s="241"/>
      <c r="L35" s="241"/>
    </row>
    <row r="36" spans="1:12" s="251" customFormat="1" ht="10.5" customHeight="1">
      <c r="A36" s="196"/>
      <c r="B36" s="205"/>
      <c r="C36" s="245"/>
      <c r="D36" s="246"/>
      <c r="E36" s="247"/>
      <c r="F36" s="247"/>
      <c r="G36" s="248"/>
      <c r="H36" s="249"/>
      <c r="I36" s="250"/>
      <c r="J36" s="250"/>
      <c r="K36" s="250"/>
      <c r="L36" s="250"/>
    </row>
    <row r="37" spans="1:20" s="204" customFormat="1" ht="19.5" customHeight="1">
      <c r="A37" s="196" t="s">
        <v>47</v>
      </c>
      <c r="B37" s="197">
        <v>766691914</v>
      </c>
      <c r="C37" s="136" t="s">
        <v>1393</v>
      </c>
      <c r="D37" s="198" t="s">
        <v>175</v>
      </c>
      <c r="E37" s="199">
        <v>1</v>
      </c>
      <c r="F37" s="199"/>
      <c r="G37" s="200">
        <f>E37*F37</f>
        <v>0</v>
      </c>
      <c r="H37" s="201">
        <v>0</v>
      </c>
      <c r="I37" s="201">
        <f>E37*H37</f>
        <v>0</v>
      </c>
      <c r="J37" s="85">
        <v>0.024</v>
      </c>
      <c r="K37" s="673">
        <f>E37*J37</f>
        <v>0.024</v>
      </c>
      <c r="L37" s="673"/>
      <c r="M37" s="85"/>
      <c r="N37" s="202"/>
      <c r="O37" s="203"/>
      <c r="P37" s="203"/>
      <c r="Q37" s="203"/>
      <c r="R37" s="203"/>
      <c r="S37" s="203"/>
      <c r="T37" s="203"/>
    </row>
    <row r="38" spans="1:20" s="204" customFormat="1" ht="23.25" customHeight="1">
      <c r="A38" s="196" t="s">
        <v>50</v>
      </c>
      <c r="B38" s="197">
        <v>968072455</v>
      </c>
      <c r="C38" s="136" t="s">
        <v>1089</v>
      </c>
      <c r="D38" s="198" t="s">
        <v>46</v>
      </c>
      <c r="E38" s="199">
        <f>SUM(D39)</f>
        <v>1.379</v>
      </c>
      <c r="F38" s="199"/>
      <c r="G38" s="200">
        <f>E38*F38</f>
        <v>0</v>
      </c>
      <c r="H38" s="201">
        <v>0</v>
      </c>
      <c r="I38" s="201">
        <f>E38*H38</f>
        <v>0</v>
      </c>
      <c r="J38" s="85">
        <v>0.076</v>
      </c>
      <c r="K38" s="673">
        <f>E38*J38</f>
        <v>0.104804</v>
      </c>
      <c r="L38" s="673"/>
      <c r="M38" s="85"/>
      <c r="N38" s="202"/>
      <c r="O38" s="203"/>
      <c r="P38" s="203"/>
      <c r="Q38" s="203"/>
      <c r="R38" s="203"/>
      <c r="S38" s="203"/>
      <c r="T38" s="203"/>
    </row>
    <row r="39" spans="1:20" s="214" customFormat="1" ht="15" customHeight="1">
      <c r="A39" s="196"/>
      <c r="B39" s="706"/>
      <c r="C39" s="707" t="s">
        <v>1694</v>
      </c>
      <c r="D39" s="708">
        <f>0.7*1.97*1</f>
        <v>1.379</v>
      </c>
      <c r="E39" s="709"/>
      <c r="F39" s="709"/>
      <c r="G39" s="710"/>
      <c r="H39" s="210"/>
      <c r="I39" s="210"/>
      <c r="J39" s="211"/>
      <c r="K39" s="673"/>
      <c r="L39" s="705"/>
      <c r="M39" s="211"/>
      <c r="N39" s="212"/>
      <c r="O39" s="213"/>
      <c r="P39" s="213"/>
      <c r="Q39" s="213"/>
      <c r="R39" s="213"/>
      <c r="S39" s="213"/>
      <c r="T39" s="213"/>
    </row>
    <row r="40" spans="1:20" s="204" customFormat="1" ht="23.25" customHeight="1">
      <c r="A40" s="196" t="s">
        <v>53</v>
      </c>
      <c r="B40" s="197">
        <v>968062745</v>
      </c>
      <c r="C40" s="136" t="s">
        <v>1695</v>
      </c>
      <c r="D40" s="198" t="s">
        <v>46</v>
      </c>
      <c r="E40" s="199">
        <f>SUM(D41)</f>
        <v>1.14</v>
      </c>
      <c r="F40" s="199"/>
      <c r="G40" s="200">
        <f>E40*F40</f>
        <v>0</v>
      </c>
      <c r="H40" s="201">
        <v>0</v>
      </c>
      <c r="I40" s="201">
        <f>E40*H40</f>
        <v>0</v>
      </c>
      <c r="J40" s="85">
        <v>0.025</v>
      </c>
      <c r="K40" s="673">
        <f>E40*J40</f>
        <v>0.028499999999999998</v>
      </c>
      <c r="L40" s="673"/>
      <c r="M40" s="85"/>
      <c r="N40" s="202"/>
      <c r="O40" s="203"/>
      <c r="P40" s="203"/>
      <c r="Q40" s="203"/>
      <c r="R40" s="203"/>
      <c r="S40" s="203"/>
      <c r="T40" s="203"/>
    </row>
    <row r="41" spans="1:20" s="214" customFormat="1" ht="15" customHeight="1">
      <c r="A41" s="196"/>
      <c r="B41" s="706"/>
      <c r="C41" s="707" t="s">
        <v>263</v>
      </c>
      <c r="D41" s="708">
        <f>0.95*1.2</f>
        <v>1.14</v>
      </c>
      <c r="E41" s="709"/>
      <c r="F41" s="709"/>
      <c r="G41" s="710"/>
      <c r="H41" s="210"/>
      <c r="I41" s="210"/>
      <c r="J41" s="211"/>
      <c r="K41" s="673"/>
      <c r="L41" s="705"/>
      <c r="M41" s="211"/>
      <c r="N41" s="212"/>
      <c r="O41" s="213"/>
      <c r="P41" s="213"/>
      <c r="Q41" s="213"/>
      <c r="R41" s="213"/>
      <c r="S41" s="213"/>
      <c r="T41" s="213"/>
    </row>
    <row r="42" spans="1:20" s="204" customFormat="1" ht="24.75" customHeight="1">
      <c r="A42" s="196" t="s">
        <v>56</v>
      </c>
      <c r="B42" s="197" t="s">
        <v>1373</v>
      </c>
      <c r="C42" s="136" t="s">
        <v>1374</v>
      </c>
      <c r="D42" s="198" t="s">
        <v>52</v>
      </c>
      <c r="E42" s="199">
        <f>SUM(D43)</f>
        <v>1.2184</v>
      </c>
      <c r="F42" s="199"/>
      <c r="G42" s="200">
        <f>E42*F42</f>
        <v>0</v>
      </c>
      <c r="H42" s="201">
        <v>0</v>
      </c>
      <c r="I42" s="201">
        <f>E42*H42</f>
        <v>0</v>
      </c>
      <c r="J42" s="85">
        <v>1.8</v>
      </c>
      <c r="K42" s="673">
        <f>E42*J42</f>
        <v>2.19312</v>
      </c>
      <c r="L42" s="673"/>
      <c r="M42" s="85"/>
      <c r="N42" s="202"/>
      <c r="O42" s="203"/>
      <c r="P42" s="203"/>
      <c r="Q42" s="203"/>
      <c r="R42" s="203"/>
      <c r="S42" s="203"/>
      <c r="T42" s="203"/>
    </row>
    <row r="43" spans="1:20" s="214" customFormat="1" ht="15" customHeight="1">
      <c r="A43" s="196"/>
      <c r="B43" s="706"/>
      <c r="C43" s="707" t="s">
        <v>1681</v>
      </c>
      <c r="D43" s="708">
        <f>0.8*0.3*0.4+0.75*0.4*0.4+0.3*2.45*0.4+0.28*2.3*1.1</f>
        <v>1.2184</v>
      </c>
      <c r="E43" s="709"/>
      <c r="F43" s="709"/>
      <c r="G43" s="710"/>
      <c r="H43" s="210"/>
      <c r="I43" s="210"/>
      <c r="J43" s="211"/>
      <c r="K43" s="673"/>
      <c r="L43" s="705"/>
      <c r="M43" s="211"/>
      <c r="N43" s="212"/>
      <c r="O43" s="213"/>
      <c r="P43" s="213"/>
      <c r="Q43" s="213"/>
      <c r="R43" s="213"/>
      <c r="S43" s="213"/>
      <c r="T43" s="213"/>
    </row>
    <row r="44" spans="1:20" s="204" customFormat="1" ht="24.75" customHeight="1">
      <c r="A44" s="196" t="s">
        <v>58</v>
      </c>
      <c r="B44" s="197">
        <v>971033681</v>
      </c>
      <c r="C44" s="136" t="s">
        <v>1518</v>
      </c>
      <c r="D44" s="198" t="s">
        <v>52</v>
      </c>
      <c r="E44" s="199">
        <f>SUM(D45)</f>
        <v>0.44849999999999995</v>
      </c>
      <c r="F44" s="199"/>
      <c r="G44" s="200">
        <f>E44*F44</f>
        <v>0</v>
      </c>
      <c r="H44" s="201">
        <v>0</v>
      </c>
      <c r="I44" s="201">
        <f>E44*H44</f>
        <v>0</v>
      </c>
      <c r="J44" s="85">
        <v>1.8</v>
      </c>
      <c r="K44" s="673">
        <f>E44*J44</f>
        <v>0.8072999999999999</v>
      </c>
      <c r="L44" s="673"/>
      <c r="M44" s="85"/>
      <c r="N44" s="202"/>
      <c r="O44" s="203"/>
      <c r="P44" s="203"/>
      <c r="Q44" s="203"/>
      <c r="R44" s="203"/>
      <c r="S44" s="203"/>
      <c r="T44" s="203"/>
    </row>
    <row r="45" spans="1:20" s="214" customFormat="1" ht="15" customHeight="1">
      <c r="A45" s="196"/>
      <c r="B45" s="706"/>
      <c r="C45" s="707" t="s">
        <v>1682</v>
      </c>
      <c r="D45" s="708">
        <f>2.3*0.3*0.65</f>
        <v>0.44849999999999995</v>
      </c>
      <c r="E45" s="709"/>
      <c r="F45" s="709"/>
      <c r="G45" s="710"/>
      <c r="H45" s="210"/>
      <c r="I45" s="210"/>
      <c r="J45" s="211"/>
      <c r="K45" s="673"/>
      <c r="L45" s="705"/>
      <c r="M45" s="211"/>
      <c r="N45" s="212"/>
      <c r="O45" s="213"/>
      <c r="P45" s="213"/>
      <c r="Q45" s="213"/>
      <c r="R45" s="213"/>
      <c r="S45" s="213"/>
      <c r="T45" s="213"/>
    </row>
    <row r="46" spans="1:20" s="244" customFormat="1" ht="19.5" customHeight="1">
      <c r="A46" s="196" t="s">
        <v>61</v>
      </c>
      <c r="B46" s="197">
        <v>766411821</v>
      </c>
      <c r="C46" s="294" t="s">
        <v>258</v>
      </c>
      <c r="D46" s="295" t="s">
        <v>46</v>
      </c>
      <c r="E46" s="404">
        <f>SUM(D47)</f>
        <v>31.200000000000003</v>
      </c>
      <c r="F46" s="404"/>
      <c r="G46" s="200">
        <f>E46*F46</f>
        <v>0</v>
      </c>
      <c r="H46" s="242">
        <v>0</v>
      </c>
      <c r="I46" s="242">
        <f>E46*H46</f>
        <v>0</v>
      </c>
      <c r="J46" s="243">
        <v>0.010980000000000002</v>
      </c>
      <c r="K46" s="769">
        <f>E46*J46</f>
        <v>0.3425760000000001</v>
      </c>
      <c r="L46" s="243"/>
      <c r="M46" s="243"/>
      <c r="N46" s="405"/>
      <c r="O46" s="406"/>
      <c r="P46" s="406"/>
      <c r="Q46" s="406"/>
      <c r="R46" s="406"/>
      <c r="S46" s="406"/>
      <c r="T46" s="406"/>
    </row>
    <row r="47" spans="1:12" s="251" customFormat="1" ht="17.25" customHeight="1">
      <c r="A47" s="196"/>
      <c r="B47" s="205"/>
      <c r="C47" s="245" t="s">
        <v>1680</v>
      </c>
      <c r="D47" s="246">
        <f>(4.5+9.3+2.7+4.3)*1.5</f>
        <v>31.200000000000003</v>
      </c>
      <c r="E47" s="247"/>
      <c r="F47" s="247"/>
      <c r="G47" s="248"/>
      <c r="H47" s="249"/>
      <c r="I47" s="250"/>
      <c r="J47" s="250"/>
      <c r="K47" s="724"/>
      <c r="L47" s="250"/>
    </row>
    <row r="48" spans="1:12" s="251" customFormat="1" ht="11.25" customHeight="1">
      <c r="A48" s="196"/>
      <c r="B48" s="205"/>
      <c r="C48" s="245"/>
      <c r="D48" s="246"/>
      <c r="E48" s="247"/>
      <c r="F48" s="247"/>
      <c r="G48" s="248"/>
      <c r="H48" s="249"/>
      <c r="I48" s="250"/>
      <c r="J48" s="250"/>
      <c r="K48" s="724"/>
      <c r="L48" s="250"/>
    </row>
    <row r="49" spans="1:20" s="204" customFormat="1" ht="29.25" customHeight="1">
      <c r="A49" s="196" t="s">
        <v>63</v>
      </c>
      <c r="B49" s="197" t="s">
        <v>67</v>
      </c>
      <c r="C49" s="136" t="s">
        <v>1389</v>
      </c>
      <c r="D49" s="198" t="s">
        <v>46</v>
      </c>
      <c r="E49" s="199">
        <f>SUM(D50)</f>
        <v>60.29999999999999</v>
      </c>
      <c r="F49" s="199"/>
      <c r="G49" s="200">
        <f>E49*F49</f>
        <v>0</v>
      </c>
      <c r="H49" s="201">
        <v>0</v>
      </c>
      <c r="I49" s="201">
        <f>E49*H49</f>
        <v>0</v>
      </c>
      <c r="J49" s="85">
        <v>0.046</v>
      </c>
      <c r="K49" s="673">
        <f>E49*J49</f>
        <v>2.7737999999999996</v>
      </c>
      <c r="L49" s="673"/>
      <c r="M49" s="85"/>
      <c r="N49" s="202"/>
      <c r="O49" s="203"/>
      <c r="P49" s="203"/>
      <c r="Q49" s="203"/>
      <c r="R49" s="203"/>
      <c r="S49" s="203"/>
      <c r="T49" s="203"/>
    </row>
    <row r="50" spans="1:15" s="251" customFormat="1" ht="17.25" customHeight="1">
      <c r="A50" s="196"/>
      <c r="B50" s="205"/>
      <c r="C50" s="245" t="s">
        <v>1712</v>
      </c>
      <c r="D50" s="246">
        <f>26.2*2.3+0.04</f>
        <v>60.29999999999999</v>
      </c>
      <c r="E50" s="247"/>
      <c r="F50" s="247"/>
      <c r="G50" s="248"/>
      <c r="H50" s="249"/>
      <c r="I50" s="250"/>
      <c r="J50" s="250"/>
      <c r="K50" s="724"/>
      <c r="L50" s="250"/>
      <c r="N50" s="202"/>
      <c r="O50" s="203"/>
    </row>
    <row r="51" spans="1:20" s="204" customFormat="1" ht="29.25" customHeight="1">
      <c r="A51" s="196" t="s">
        <v>64</v>
      </c>
      <c r="B51" s="197">
        <v>978013141</v>
      </c>
      <c r="C51" s="136" t="s">
        <v>1525</v>
      </c>
      <c r="D51" s="198" t="s">
        <v>46</v>
      </c>
      <c r="E51" s="199">
        <f>SUM(D52)</f>
        <v>36.095</v>
      </c>
      <c r="F51" s="199"/>
      <c r="G51" s="200">
        <f>E51*F51</f>
        <v>0</v>
      </c>
      <c r="H51" s="201">
        <v>0</v>
      </c>
      <c r="I51" s="201">
        <f>E51*H51</f>
        <v>0</v>
      </c>
      <c r="J51" s="85">
        <v>0.01</v>
      </c>
      <c r="K51" s="673">
        <f>E51*J51</f>
        <v>0.36095</v>
      </c>
      <c r="L51" s="673"/>
      <c r="M51" s="85"/>
      <c r="N51" s="202"/>
      <c r="O51" s="203"/>
      <c r="P51" s="203"/>
      <c r="Q51" s="203"/>
      <c r="R51" s="203"/>
      <c r="S51" s="203"/>
      <c r="T51" s="203"/>
    </row>
    <row r="52" spans="1:15" s="251" customFormat="1" ht="17.25" customHeight="1">
      <c r="A52" s="196"/>
      <c r="B52" s="205"/>
      <c r="C52" s="245" t="s">
        <v>1713</v>
      </c>
      <c r="D52" s="246">
        <f>(26.2)*1.3+2.85*0.7+0.04</f>
        <v>36.095</v>
      </c>
      <c r="E52" s="247"/>
      <c r="F52" s="247"/>
      <c r="G52" s="248"/>
      <c r="H52" s="249"/>
      <c r="I52" s="250"/>
      <c r="J52" s="250"/>
      <c r="K52" s="724"/>
      <c r="L52" s="250"/>
      <c r="N52" s="202"/>
      <c r="O52" s="203"/>
    </row>
    <row r="53" spans="1:20" s="204" customFormat="1" ht="30" customHeight="1">
      <c r="A53" s="196" t="s">
        <v>66</v>
      </c>
      <c r="B53" s="672" t="s">
        <v>1529</v>
      </c>
      <c r="C53" s="667" t="s">
        <v>1530</v>
      </c>
      <c r="D53" s="668" t="s">
        <v>46</v>
      </c>
      <c r="E53" s="669">
        <f>SUM(D54)</f>
        <v>41.6</v>
      </c>
      <c r="F53" s="669"/>
      <c r="G53" s="200">
        <f>E53*F53</f>
        <v>0</v>
      </c>
      <c r="H53" s="201">
        <v>0</v>
      </c>
      <c r="I53" s="201">
        <f>E53*H53</f>
        <v>0</v>
      </c>
      <c r="J53" s="85">
        <v>0.01</v>
      </c>
      <c r="K53" s="673">
        <f>E53*J53</f>
        <v>0.41600000000000004</v>
      </c>
      <c r="L53" s="673"/>
      <c r="M53" s="85"/>
      <c r="N53" s="202"/>
      <c r="O53" s="203"/>
      <c r="P53" s="203"/>
      <c r="Q53" s="203"/>
      <c r="R53" s="203"/>
      <c r="S53" s="203"/>
      <c r="T53" s="203"/>
    </row>
    <row r="54" spans="1:20" s="214" customFormat="1" ht="15" customHeight="1">
      <c r="A54" s="196"/>
      <c r="B54" s="205" t="s">
        <v>1386</v>
      </c>
      <c r="C54" s="784">
        <v>41.6</v>
      </c>
      <c r="D54" s="207">
        <v>41.6</v>
      </c>
      <c r="E54" s="208"/>
      <c r="F54" s="208"/>
      <c r="G54" s="209"/>
      <c r="H54" s="210"/>
      <c r="I54" s="210"/>
      <c r="J54" s="211"/>
      <c r="K54" s="673"/>
      <c r="L54" s="705"/>
      <c r="M54" s="211"/>
      <c r="N54" s="212"/>
      <c r="O54" s="213"/>
      <c r="P54" s="213"/>
      <c r="Q54" s="213"/>
      <c r="R54" s="213"/>
      <c r="S54" s="213"/>
      <c r="T54" s="213"/>
    </row>
    <row r="55" spans="1:20" s="204" customFormat="1" ht="29.25" customHeight="1">
      <c r="A55" s="196" t="s">
        <v>70</v>
      </c>
      <c r="B55" s="197">
        <v>965081223</v>
      </c>
      <c r="C55" s="136" t="s">
        <v>1693</v>
      </c>
      <c r="D55" s="198" t="s">
        <v>46</v>
      </c>
      <c r="E55" s="199">
        <v>41.6</v>
      </c>
      <c r="F55" s="199"/>
      <c r="G55" s="200">
        <f>E55*F55</f>
        <v>0</v>
      </c>
      <c r="H55" s="201">
        <v>0</v>
      </c>
      <c r="I55" s="201">
        <f>E55*H55</f>
        <v>0</v>
      </c>
      <c r="J55" s="85">
        <v>0.057</v>
      </c>
      <c r="K55" s="673">
        <f>E55*J55</f>
        <v>2.3712</v>
      </c>
      <c r="L55" s="673"/>
      <c r="M55" s="85"/>
      <c r="N55" s="202"/>
      <c r="O55" s="203"/>
      <c r="P55" s="203"/>
      <c r="Q55" s="203"/>
      <c r="R55" s="203"/>
      <c r="S55" s="203"/>
      <c r="T55" s="203"/>
    </row>
    <row r="56" spans="1:20" s="214" customFormat="1" ht="15" customHeight="1">
      <c r="A56" s="196"/>
      <c r="B56" s="205"/>
      <c r="C56" s="206"/>
      <c r="D56" s="207"/>
      <c r="E56" s="208"/>
      <c r="F56" s="208"/>
      <c r="G56" s="209"/>
      <c r="H56" s="210"/>
      <c r="I56" s="210"/>
      <c r="J56" s="211"/>
      <c r="K56" s="673"/>
      <c r="L56" s="705"/>
      <c r="M56" s="211"/>
      <c r="N56" s="212"/>
      <c r="O56" s="213"/>
      <c r="P56" s="213"/>
      <c r="Q56" s="213"/>
      <c r="R56" s="213"/>
      <c r="S56" s="213"/>
      <c r="T56" s="213"/>
    </row>
    <row r="57" spans="1:20" s="204" customFormat="1" ht="29.25" customHeight="1">
      <c r="A57" s="196" t="s">
        <v>74</v>
      </c>
      <c r="B57" s="197" t="s">
        <v>48</v>
      </c>
      <c r="C57" s="136" t="s">
        <v>49</v>
      </c>
      <c r="D57" s="198" t="s">
        <v>46</v>
      </c>
      <c r="E57" s="199">
        <v>41.6</v>
      </c>
      <c r="F57" s="199"/>
      <c r="G57" s="200">
        <f>E57*F57</f>
        <v>0</v>
      </c>
      <c r="H57" s="201">
        <v>0</v>
      </c>
      <c r="I57" s="201">
        <f>E57*H57</f>
        <v>0</v>
      </c>
      <c r="J57" s="85">
        <v>0.09</v>
      </c>
      <c r="K57" s="673">
        <f>E57*J57</f>
        <v>3.7439999999999998</v>
      </c>
      <c r="L57" s="673"/>
      <c r="M57" s="85"/>
      <c r="N57" s="202"/>
      <c r="O57" s="203"/>
      <c r="P57" s="203"/>
      <c r="Q57" s="203"/>
      <c r="R57" s="203"/>
      <c r="S57" s="203"/>
      <c r="T57" s="203"/>
    </row>
    <row r="58" spans="1:20" s="204" customFormat="1" ht="21.75" customHeight="1">
      <c r="A58" s="196" t="s">
        <v>77</v>
      </c>
      <c r="B58" s="197">
        <v>711131811</v>
      </c>
      <c r="C58" s="136" t="s">
        <v>57</v>
      </c>
      <c r="D58" s="198" t="s">
        <v>46</v>
      </c>
      <c r="E58" s="199">
        <v>41.6</v>
      </c>
      <c r="F58" s="199"/>
      <c r="G58" s="200">
        <f>E58*F58</f>
        <v>0</v>
      </c>
      <c r="H58" s="201">
        <v>0</v>
      </c>
      <c r="I58" s="201">
        <f>E58*H58</f>
        <v>0</v>
      </c>
      <c r="J58" s="85">
        <v>0.004</v>
      </c>
      <c r="K58" s="673">
        <f>E58*J58</f>
        <v>0.16640000000000002</v>
      </c>
      <c r="L58" s="673"/>
      <c r="M58" s="85"/>
      <c r="N58" s="202"/>
      <c r="O58" s="203"/>
      <c r="P58" s="203"/>
      <c r="Q58" s="203"/>
      <c r="R58" s="203"/>
      <c r="S58" s="203"/>
      <c r="T58" s="203"/>
    </row>
    <row r="59" spans="1:20" s="214" customFormat="1" ht="15" customHeight="1">
      <c r="A59" s="196"/>
      <c r="B59" s="205"/>
      <c r="C59" s="206"/>
      <c r="D59" s="207"/>
      <c r="E59" s="208"/>
      <c r="F59" s="208"/>
      <c r="G59" s="209"/>
      <c r="H59" s="210"/>
      <c r="I59" s="210"/>
      <c r="J59" s="211"/>
      <c r="K59" s="673"/>
      <c r="L59" s="705"/>
      <c r="M59" s="211"/>
      <c r="N59" s="212"/>
      <c r="O59" s="213"/>
      <c r="P59" s="213"/>
      <c r="Q59" s="213"/>
      <c r="R59" s="213"/>
      <c r="S59" s="213"/>
      <c r="T59" s="213"/>
    </row>
    <row r="60" spans="1:20" s="204" customFormat="1" ht="29.25" customHeight="1">
      <c r="A60" s="196"/>
      <c r="B60" s="197" t="s">
        <v>68</v>
      </c>
      <c r="C60" s="215" t="s">
        <v>69</v>
      </c>
      <c r="D60" s="198"/>
      <c r="E60" s="199"/>
      <c r="F60" s="199"/>
      <c r="G60" s="200"/>
      <c r="H60" s="201"/>
      <c r="I60" s="216">
        <f>SUM(I26:I59)</f>
        <v>0</v>
      </c>
      <c r="J60" s="217"/>
      <c r="K60" s="217">
        <f>SUM(K30:K59)</f>
        <v>13.33265</v>
      </c>
      <c r="L60" s="85"/>
      <c r="M60" s="85"/>
      <c r="N60" s="202"/>
      <c r="O60" s="203"/>
      <c r="P60" s="203"/>
      <c r="Q60" s="203"/>
      <c r="R60" s="203"/>
      <c r="S60" s="203"/>
      <c r="T60" s="203"/>
    </row>
    <row r="61" spans="1:20" s="204" customFormat="1" ht="36.75" customHeight="1">
      <c r="A61" s="196" t="s">
        <v>80</v>
      </c>
      <c r="B61" s="237" t="s">
        <v>1038</v>
      </c>
      <c r="C61" s="711" t="s">
        <v>1039</v>
      </c>
      <c r="D61" s="712" t="s">
        <v>73</v>
      </c>
      <c r="E61" s="713">
        <f>K60</f>
        <v>13.33265</v>
      </c>
      <c r="F61" s="199"/>
      <c r="G61" s="200">
        <f>E61*F61</f>
        <v>0</v>
      </c>
      <c r="H61" s="85"/>
      <c r="I61" s="85"/>
      <c r="J61" s="201"/>
      <c r="K61" s="201"/>
      <c r="L61" s="85"/>
      <c r="M61" s="85"/>
      <c r="N61" s="202"/>
      <c r="O61" s="203"/>
      <c r="P61" s="203"/>
      <c r="Q61" s="203"/>
      <c r="R61" s="203"/>
      <c r="S61" s="203"/>
      <c r="T61" s="203"/>
    </row>
    <row r="62" spans="1:20" s="204" customFormat="1" ht="22.5" customHeight="1">
      <c r="A62" s="196" t="s">
        <v>82</v>
      </c>
      <c r="B62" s="197" t="s">
        <v>71</v>
      </c>
      <c r="C62" s="136" t="s">
        <v>72</v>
      </c>
      <c r="D62" s="198" t="s">
        <v>73</v>
      </c>
      <c r="E62" s="199">
        <f>E61</f>
        <v>13.33265</v>
      </c>
      <c r="F62" s="199"/>
      <c r="G62" s="200">
        <f>E62*F62</f>
        <v>0</v>
      </c>
      <c r="H62" s="85"/>
      <c r="I62" s="85"/>
      <c r="J62" s="201"/>
      <c r="K62" s="201"/>
      <c r="L62" s="85"/>
      <c r="M62" s="85"/>
      <c r="N62" s="202"/>
      <c r="O62" s="203"/>
      <c r="P62" s="203"/>
      <c r="Q62" s="203"/>
      <c r="R62" s="203"/>
      <c r="S62" s="203"/>
      <c r="T62" s="203"/>
    </row>
    <row r="63" spans="1:20" s="214" customFormat="1" ht="36.75" customHeight="1">
      <c r="A63" s="196" t="s">
        <v>84</v>
      </c>
      <c r="B63" s="237" t="s">
        <v>75</v>
      </c>
      <c r="C63" s="711" t="s">
        <v>1040</v>
      </c>
      <c r="D63" s="714" t="s">
        <v>73</v>
      </c>
      <c r="E63" s="713">
        <f>E61</f>
        <v>13.33265</v>
      </c>
      <c r="F63" s="199"/>
      <c r="G63" s="200">
        <f>E63*F63</f>
        <v>0</v>
      </c>
      <c r="H63" s="211"/>
      <c r="I63" s="85"/>
      <c r="J63" s="210"/>
      <c r="K63" s="210"/>
      <c r="L63" s="211"/>
      <c r="M63" s="211"/>
      <c r="N63" s="212"/>
      <c r="O63" s="213"/>
      <c r="P63" s="213"/>
      <c r="Q63" s="213"/>
      <c r="R63" s="213"/>
      <c r="S63" s="213"/>
      <c r="T63" s="213"/>
    </row>
    <row r="64" spans="1:20" s="204" customFormat="1" ht="29.25" customHeight="1">
      <c r="A64" s="196" t="s">
        <v>85</v>
      </c>
      <c r="B64" s="237" t="s">
        <v>78</v>
      </c>
      <c r="C64" s="711" t="s">
        <v>1051</v>
      </c>
      <c r="D64" s="712" t="s">
        <v>73</v>
      </c>
      <c r="E64" s="713">
        <f>SUM(D65)</f>
        <v>109.7</v>
      </c>
      <c r="F64" s="199"/>
      <c r="G64" s="200">
        <f>E64*F64</f>
        <v>0</v>
      </c>
      <c r="H64" s="85"/>
      <c r="I64" s="85"/>
      <c r="J64" s="201"/>
      <c r="K64" s="201"/>
      <c r="L64" s="85"/>
      <c r="M64" s="85"/>
      <c r="N64" s="202"/>
      <c r="O64" s="203"/>
      <c r="P64" s="203"/>
      <c r="Q64" s="203"/>
      <c r="R64" s="203"/>
      <c r="S64" s="203"/>
      <c r="T64" s="203"/>
    </row>
    <row r="65" spans="1:20" s="214" customFormat="1" ht="15" customHeight="1">
      <c r="A65" s="196"/>
      <c r="B65" s="205"/>
      <c r="C65" s="206" t="s">
        <v>1699</v>
      </c>
      <c r="D65" s="207">
        <f>10.97*10</f>
        <v>109.7</v>
      </c>
      <c r="E65" s="208"/>
      <c r="F65" s="208"/>
      <c r="G65" s="209"/>
      <c r="H65" s="211"/>
      <c r="I65" s="85"/>
      <c r="J65" s="210"/>
      <c r="K65" s="210"/>
      <c r="L65" s="211"/>
      <c r="M65" s="211"/>
      <c r="N65" s="212"/>
      <c r="O65" s="213"/>
      <c r="P65" s="213"/>
      <c r="Q65" s="213"/>
      <c r="R65" s="213"/>
      <c r="S65" s="213"/>
      <c r="T65" s="213"/>
    </row>
    <row r="66" spans="1:20" s="214" customFormat="1" ht="30" customHeight="1">
      <c r="A66" s="196" t="s">
        <v>89</v>
      </c>
      <c r="B66" s="237" t="s">
        <v>1041</v>
      </c>
      <c r="C66" s="711" t="s">
        <v>1042</v>
      </c>
      <c r="D66" s="714" t="s">
        <v>73</v>
      </c>
      <c r="E66" s="713">
        <f>K42+K51+K53+K44+K49</f>
        <v>6.551169999999999</v>
      </c>
      <c r="F66" s="199"/>
      <c r="G66" s="200">
        <f>E66*F66</f>
        <v>0</v>
      </c>
      <c r="H66" s="211"/>
      <c r="I66" s="85"/>
      <c r="J66" s="210"/>
      <c r="K66" s="210"/>
      <c r="L66" s="211"/>
      <c r="M66" s="211"/>
      <c r="N66" s="212"/>
      <c r="O66" s="213"/>
      <c r="P66" s="213"/>
      <c r="Q66" s="213"/>
      <c r="R66" s="213"/>
      <c r="S66" s="213"/>
      <c r="T66" s="213"/>
    </row>
    <row r="67" spans="1:20" s="204" customFormat="1" ht="29.25" customHeight="1">
      <c r="A67" s="196" t="s">
        <v>91</v>
      </c>
      <c r="B67" s="197">
        <v>997221861</v>
      </c>
      <c r="C67" s="136" t="s">
        <v>1052</v>
      </c>
      <c r="D67" s="198" t="s">
        <v>73</v>
      </c>
      <c r="E67" s="199">
        <f>K57</f>
        <v>3.7439999999999998</v>
      </c>
      <c r="F67" s="199"/>
      <c r="G67" s="200">
        <f>E67*F67</f>
        <v>0</v>
      </c>
      <c r="H67" s="85"/>
      <c r="I67" s="85"/>
      <c r="J67" s="201"/>
      <c r="K67" s="201"/>
      <c r="L67" s="85"/>
      <c r="M67" s="85"/>
      <c r="N67" s="202"/>
      <c r="O67" s="203"/>
      <c r="P67" s="203"/>
      <c r="Q67" s="203"/>
      <c r="R67" s="203"/>
      <c r="S67" s="203"/>
      <c r="T67" s="203"/>
    </row>
    <row r="68" spans="1:20" s="204" customFormat="1" ht="29.25" customHeight="1">
      <c r="A68" s="196" t="s">
        <v>93</v>
      </c>
      <c r="B68" s="197">
        <v>997013871</v>
      </c>
      <c r="C68" s="136" t="s">
        <v>1064</v>
      </c>
      <c r="D68" s="198" t="s">
        <v>73</v>
      </c>
      <c r="E68" s="199">
        <f>K32+K33+K40+K29+K38</f>
        <v>0.13330399999999998</v>
      </c>
      <c r="F68" s="199"/>
      <c r="G68" s="200">
        <f>$E68*F68</f>
        <v>0</v>
      </c>
      <c r="H68" s="85"/>
      <c r="I68" s="85"/>
      <c r="J68" s="201"/>
      <c r="K68" s="201"/>
      <c r="L68" s="85"/>
      <c r="M68" s="85"/>
      <c r="N68" s="202"/>
      <c r="O68" s="203"/>
      <c r="P68" s="203"/>
      <c r="Q68" s="203"/>
      <c r="R68" s="203"/>
      <c r="S68" s="203"/>
      <c r="T68" s="203"/>
    </row>
    <row r="69" spans="1:20" s="204" customFormat="1" ht="34.5" customHeight="1">
      <c r="A69" s="196" t="s">
        <v>95</v>
      </c>
      <c r="B69" s="237" t="s">
        <v>1043</v>
      </c>
      <c r="C69" s="711" t="s">
        <v>1044</v>
      </c>
      <c r="D69" s="712" t="s">
        <v>73</v>
      </c>
      <c r="E69" s="713">
        <f>K37+K46</f>
        <v>0.3665760000000001</v>
      </c>
      <c r="F69" s="199"/>
      <c r="G69" s="200">
        <f>E69*F69</f>
        <v>0</v>
      </c>
      <c r="H69" s="85"/>
      <c r="I69" s="85"/>
      <c r="J69" s="201"/>
      <c r="K69" s="201"/>
      <c r="L69" s="85"/>
      <c r="M69" s="85"/>
      <c r="N69" s="202"/>
      <c r="O69" s="203"/>
      <c r="P69" s="203"/>
      <c r="Q69" s="203"/>
      <c r="R69" s="203"/>
      <c r="S69" s="203"/>
      <c r="T69" s="203"/>
    </row>
    <row r="70" spans="1:20" s="204" customFormat="1" ht="34.5" customHeight="1">
      <c r="A70" s="196" t="s">
        <v>103</v>
      </c>
      <c r="B70" s="237" t="s">
        <v>1045</v>
      </c>
      <c r="C70" s="711" t="s">
        <v>1046</v>
      </c>
      <c r="D70" s="712" t="s">
        <v>73</v>
      </c>
      <c r="E70" s="713">
        <f>K58</f>
        <v>0.16640000000000002</v>
      </c>
      <c r="F70" s="199"/>
      <c r="G70" s="200">
        <f>E70*F70</f>
        <v>0</v>
      </c>
      <c r="H70" s="217"/>
      <c r="I70" s="217"/>
      <c r="J70" s="201"/>
      <c r="K70" s="216"/>
      <c r="L70" s="85"/>
      <c r="M70" s="85"/>
      <c r="N70" s="202"/>
      <c r="O70" s="203"/>
      <c r="P70" s="203"/>
      <c r="Q70" s="203"/>
      <c r="R70" s="203"/>
      <c r="S70" s="203"/>
      <c r="T70" s="203"/>
    </row>
    <row r="71" spans="1:20" s="204" customFormat="1" ht="34.5" customHeight="1">
      <c r="A71" s="196" t="s">
        <v>107</v>
      </c>
      <c r="B71" s="237" t="s">
        <v>1110</v>
      </c>
      <c r="C71" s="711" t="s">
        <v>1111</v>
      </c>
      <c r="D71" s="712" t="s">
        <v>73</v>
      </c>
      <c r="E71" s="713">
        <f>K55</f>
        <v>2.3712</v>
      </c>
      <c r="F71" s="199"/>
      <c r="G71" s="200">
        <f>E71*F71</f>
        <v>0</v>
      </c>
      <c r="H71" s="217"/>
      <c r="I71" s="217"/>
      <c r="J71" s="201"/>
      <c r="K71" s="216"/>
      <c r="L71" s="85"/>
      <c r="M71" s="85"/>
      <c r="N71" s="202"/>
      <c r="O71" s="203"/>
      <c r="P71" s="203"/>
      <c r="Q71" s="203"/>
      <c r="R71" s="203"/>
      <c r="S71" s="203"/>
      <c r="T71" s="203"/>
    </row>
    <row r="72" spans="1:7" ht="14" thickBot="1">
      <c r="A72" s="218"/>
      <c r="B72" s="412"/>
      <c r="C72" s="220"/>
      <c r="D72" s="221"/>
      <c r="E72" s="413"/>
      <c r="F72" s="414"/>
      <c r="G72" s="415"/>
    </row>
    <row r="73" spans="1:7" ht="19.5" customHeight="1" thickBot="1">
      <c r="A73" s="225"/>
      <c r="B73" s="226"/>
      <c r="C73" s="227" t="s">
        <v>113</v>
      </c>
      <c r="D73" s="226"/>
      <c r="E73" s="416"/>
      <c r="F73" s="417"/>
      <c r="G73" s="230">
        <f>SUBTOTAL(9,G34:G72)</f>
        <v>0</v>
      </c>
    </row>
    <row r="74" spans="1:7" ht="13" thickBot="1">
      <c r="A74" s="179"/>
      <c r="B74" s="180"/>
      <c r="C74" s="180"/>
      <c r="D74" s="180"/>
      <c r="E74" s="180"/>
      <c r="F74" s="180"/>
      <c r="G74" s="396"/>
    </row>
    <row r="75" spans="1:7" ht="17.25" customHeight="1" thickBot="1">
      <c r="A75" s="182" t="s">
        <v>100</v>
      </c>
      <c r="B75" s="183"/>
      <c r="C75" s="184" t="s">
        <v>260</v>
      </c>
      <c r="D75" s="397"/>
      <c r="E75" s="398"/>
      <c r="F75" s="187"/>
      <c r="G75" s="399"/>
    </row>
    <row r="76" spans="1:7" ht="12.75">
      <c r="A76" s="189"/>
      <c r="B76" s="400"/>
      <c r="C76" s="232"/>
      <c r="D76" s="233"/>
      <c r="E76" s="401"/>
      <c r="F76" s="402"/>
      <c r="G76" s="403"/>
    </row>
    <row r="77" spans="1:20" s="204" customFormat="1" ht="29.25" customHeight="1">
      <c r="A77" s="196" t="s">
        <v>115</v>
      </c>
      <c r="B77" s="197">
        <v>319202214</v>
      </c>
      <c r="C77" s="136" t="s">
        <v>1403</v>
      </c>
      <c r="D77" s="198" t="s">
        <v>116</v>
      </c>
      <c r="E77" s="199">
        <v>12.8</v>
      </c>
      <c r="F77" s="199"/>
      <c r="G77" s="200">
        <f>E77*F77</f>
        <v>0</v>
      </c>
      <c r="H77" s="201">
        <v>0.00122</v>
      </c>
      <c r="I77" s="201">
        <f>E77*H77</f>
        <v>0.015616</v>
      </c>
      <c r="J77" s="85">
        <v>4E-05</v>
      </c>
      <c r="K77" s="85">
        <f>E77*J77</f>
        <v>0.0005120000000000001</v>
      </c>
      <c r="L77" s="85"/>
      <c r="M77" s="85"/>
      <c r="N77" s="202"/>
      <c r="O77" s="203"/>
      <c r="P77" s="203"/>
      <c r="Q77" s="203"/>
      <c r="R77" s="203"/>
      <c r="S77" s="203"/>
      <c r="T77" s="203"/>
    </row>
    <row r="78" spans="1:12" s="244" customFormat="1" ht="21.75" customHeight="1">
      <c r="A78" s="196" t="s">
        <v>117</v>
      </c>
      <c r="B78" s="237">
        <v>310279842</v>
      </c>
      <c r="C78" s="238" t="s">
        <v>120</v>
      </c>
      <c r="D78" s="197" t="s">
        <v>52</v>
      </c>
      <c r="E78" s="239">
        <f>SUM(D79)</f>
        <v>0.642</v>
      </c>
      <c r="F78" s="239"/>
      <c r="G78" s="240">
        <f>$E78*F78</f>
        <v>0</v>
      </c>
      <c r="H78" s="241">
        <v>1.32715</v>
      </c>
      <c r="I78" s="242">
        <f>E78*H78</f>
        <v>0.8520303</v>
      </c>
      <c r="J78" s="243">
        <v>0</v>
      </c>
      <c r="K78" s="241">
        <f>E78*J78</f>
        <v>0</v>
      </c>
      <c r="L78" s="241"/>
    </row>
    <row r="79" spans="1:12" s="251" customFormat="1" ht="17.25" customHeight="1">
      <c r="A79" s="196"/>
      <c r="B79" s="205"/>
      <c r="C79" s="245" t="s">
        <v>1700</v>
      </c>
      <c r="D79" s="246">
        <f>1.07*1.2*0.5</f>
        <v>0.642</v>
      </c>
      <c r="E79" s="247"/>
      <c r="F79" s="247"/>
      <c r="G79" s="248"/>
      <c r="H79" s="249"/>
      <c r="I79" s="250"/>
      <c r="J79" s="250"/>
      <c r="K79" s="250"/>
      <c r="L79" s="250"/>
    </row>
    <row r="80" spans="1:12" s="244" customFormat="1" ht="21.75" customHeight="1">
      <c r="A80" s="196" t="s">
        <v>119</v>
      </c>
      <c r="B80" s="237" t="s">
        <v>1137</v>
      </c>
      <c r="C80" s="238" t="s">
        <v>1138</v>
      </c>
      <c r="D80" s="197" t="s">
        <v>73</v>
      </c>
      <c r="E80" s="239">
        <f>SUM(D81:D81)</f>
        <v>0.1006992</v>
      </c>
      <c r="F80" s="239"/>
      <c r="G80" s="240">
        <f>$E80*F80</f>
        <v>0</v>
      </c>
      <c r="H80" s="241">
        <v>1.09</v>
      </c>
      <c r="I80" s="242">
        <f>E80*H80</f>
        <v>0.10976212800000001</v>
      </c>
      <c r="J80" s="243">
        <v>0</v>
      </c>
      <c r="K80" s="241">
        <f>E80*J80</f>
        <v>0</v>
      </c>
      <c r="L80" s="241"/>
    </row>
    <row r="81" spans="1:12" s="251" customFormat="1" ht="17.25" customHeight="1">
      <c r="A81" s="196"/>
      <c r="B81" s="706" t="s">
        <v>1546</v>
      </c>
      <c r="C81" s="785" t="s">
        <v>1701</v>
      </c>
      <c r="D81" s="717">
        <f>1.2*11.1*1.08*7*0.001</f>
        <v>0.1006992</v>
      </c>
      <c r="E81" s="718"/>
      <c r="F81" s="718"/>
      <c r="G81" s="719"/>
      <c r="H81" s="249"/>
      <c r="I81" s="250"/>
      <c r="J81" s="250"/>
      <c r="K81" s="250"/>
      <c r="L81" s="250"/>
    </row>
    <row r="82" spans="1:12" s="244" customFormat="1" ht="21.75" customHeight="1">
      <c r="A82" s="196" t="s">
        <v>295</v>
      </c>
      <c r="B82" s="237">
        <v>317944323</v>
      </c>
      <c r="C82" s="238" t="s">
        <v>1549</v>
      </c>
      <c r="D82" s="197" t="s">
        <v>73</v>
      </c>
      <c r="E82" s="239">
        <f>SUM(D83:D83)</f>
        <v>0.2165184</v>
      </c>
      <c r="F82" s="239"/>
      <c r="G82" s="240">
        <f>$E82*F82</f>
        <v>0</v>
      </c>
      <c r="H82" s="241">
        <v>1.09</v>
      </c>
      <c r="I82" s="242">
        <f>E82*H82</f>
        <v>0.23600505600000002</v>
      </c>
      <c r="J82" s="243">
        <v>0</v>
      </c>
      <c r="K82" s="241">
        <f>E82*J82</f>
        <v>0</v>
      </c>
      <c r="L82" s="241"/>
    </row>
    <row r="83" spans="1:12" s="251" customFormat="1" ht="17.25" customHeight="1">
      <c r="A83" s="196"/>
      <c r="B83" s="706" t="s">
        <v>1560</v>
      </c>
      <c r="C83" s="726" t="s">
        <v>1702</v>
      </c>
      <c r="D83" s="727">
        <f>2.8*17.9*1.08*4*0.001</f>
        <v>0.2165184</v>
      </c>
      <c r="E83" s="728"/>
      <c r="F83" s="728"/>
      <c r="G83" s="729"/>
      <c r="H83" s="249"/>
      <c r="I83" s="250"/>
      <c r="J83" s="250"/>
      <c r="K83" s="250"/>
      <c r="L83" s="250"/>
    </row>
    <row r="84" spans="1:12" s="244" customFormat="1" ht="21.75" customHeight="1">
      <c r="A84" s="196" t="s">
        <v>299</v>
      </c>
      <c r="B84" s="237" t="s">
        <v>1135</v>
      </c>
      <c r="C84" s="238" t="s">
        <v>1136</v>
      </c>
      <c r="D84" s="197" t="s">
        <v>52</v>
      </c>
      <c r="E84" s="239">
        <f>SUM(D85:D86)</f>
        <v>0.6177999999999999</v>
      </c>
      <c r="F84" s="239"/>
      <c r="G84" s="240">
        <f>$E84*F84</f>
        <v>0</v>
      </c>
      <c r="H84" s="241">
        <v>1.94302</v>
      </c>
      <c r="I84" s="242">
        <f>E84*H84</f>
        <v>1.2003977559999999</v>
      </c>
      <c r="J84" s="243">
        <v>0</v>
      </c>
      <c r="K84" s="241">
        <f>E84*J84</f>
        <v>0</v>
      </c>
      <c r="L84" s="241"/>
    </row>
    <row r="85" spans="1:12" s="251" customFormat="1" ht="17.25" customHeight="1">
      <c r="A85" s="715"/>
      <c r="B85" s="706" t="s">
        <v>1546</v>
      </c>
      <c r="C85" s="716" t="s">
        <v>1703</v>
      </c>
      <c r="D85" s="717">
        <f>1.2*0.47*0.15*3</f>
        <v>0.25379999999999997</v>
      </c>
      <c r="E85" s="718"/>
      <c r="F85" s="718"/>
      <c r="G85" s="719"/>
      <c r="H85" s="249"/>
      <c r="I85" s="250"/>
      <c r="J85" s="250"/>
      <c r="K85" s="250"/>
      <c r="L85" s="250"/>
    </row>
    <row r="86" spans="1:12" s="251" customFormat="1" ht="17.25" customHeight="1">
      <c r="A86" s="733"/>
      <c r="B86" s="706" t="s">
        <v>1560</v>
      </c>
      <c r="C86" s="726" t="s">
        <v>1704</v>
      </c>
      <c r="D86" s="727">
        <f>2.8*0.65*0.2</f>
        <v>0.364</v>
      </c>
      <c r="E86" s="767"/>
      <c r="F86" s="767"/>
      <c r="G86" s="768"/>
      <c r="H86" s="249"/>
      <c r="I86" s="250"/>
      <c r="J86" s="250"/>
      <c r="K86" s="250"/>
      <c r="L86" s="250"/>
    </row>
    <row r="87" spans="1:12" s="244" customFormat="1" ht="14" thickBot="1">
      <c r="A87" s="286"/>
      <c r="B87" s="412"/>
      <c r="C87" s="220"/>
      <c r="D87" s="221"/>
      <c r="E87" s="414"/>
      <c r="F87" s="414"/>
      <c r="G87" s="418"/>
      <c r="H87" s="241"/>
      <c r="I87" s="241"/>
      <c r="J87" s="241"/>
      <c r="K87" s="241"/>
      <c r="L87" s="241"/>
    </row>
    <row r="88" spans="1:7" ht="13" thickBot="1">
      <c r="A88" s="225"/>
      <c r="B88" s="226"/>
      <c r="C88" s="227" t="s">
        <v>113</v>
      </c>
      <c r="D88" s="226"/>
      <c r="E88" s="416"/>
      <c r="F88" s="417"/>
      <c r="G88" s="230">
        <f>SUBTOTAL(9,G76:G87)</f>
        <v>0</v>
      </c>
    </row>
    <row r="89" spans="1:7" ht="13" thickBot="1">
      <c r="A89" s="179"/>
      <c r="B89" s="180"/>
      <c r="C89" s="180"/>
      <c r="D89" s="180"/>
      <c r="E89" s="180"/>
      <c r="F89" s="180"/>
      <c r="G89" s="396"/>
    </row>
    <row r="90" spans="1:20" s="80" customFormat="1" ht="17.25" customHeight="1" thickBot="1">
      <c r="A90" s="182" t="s">
        <v>121</v>
      </c>
      <c r="B90" s="183"/>
      <c r="C90" s="184" t="s">
        <v>1139</v>
      </c>
      <c r="D90" s="185"/>
      <c r="E90" s="186"/>
      <c r="F90" s="187"/>
      <c r="G90" s="188"/>
      <c r="H90" s="77"/>
      <c r="I90" s="77"/>
      <c r="J90" s="77"/>
      <c r="K90" s="77"/>
      <c r="L90" s="77"/>
      <c r="M90" s="77"/>
      <c r="N90" s="78"/>
      <c r="O90" s="79"/>
      <c r="P90" s="79"/>
      <c r="Q90" s="79"/>
      <c r="R90" s="79"/>
      <c r="S90" s="79"/>
      <c r="T90" s="79"/>
    </row>
    <row r="91" spans="1:20" s="80" customFormat="1" ht="12.75">
      <c r="A91" s="189"/>
      <c r="B91" s="231"/>
      <c r="C91" s="232"/>
      <c r="D91" s="233"/>
      <c r="E91" s="234"/>
      <c r="F91" s="235"/>
      <c r="G91" s="236"/>
      <c r="H91" s="77"/>
      <c r="I91" s="77"/>
      <c r="J91" s="77"/>
      <c r="K91" s="77"/>
      <c r="L91" s="77"/>
      <c r="M91" s="77"/>
      <c r="N91" s="78"/>
      <c r="O91" s="79"/>
      <c r="P91" s="79"/>
      <c r="Q91" s="79"/>
      <c r="R91" s="79"/>
      <c r="S91" s="79"/>
      <c r="T91" s="79"/>
    </row>
    <row r="92" spans="1:12" s="244" customFormat="1" ht="21.75" customHeight="1">
      <c r="A92" s="268" t="s">
        <v>123</v>
      </c>
      <c r="B92" s="237" t="s">
        <v>1140</v>
      </c>
      <c r="C92" s="238" t="s">
        <v>1141</v>
      </c>
      <c r="D92" s="197" t="s">
        <v>175</v>
      </c>
      <c r="E92" s="239">
        <f>SUM(D93:D94)</f>
        <v>22</v>
      </c>
      <c r="F92" s="239"/>
      <c r="G92" s="240">
        <f>$E92*F92</f>
        <v>0</v>
      </c>
      <c r="H92" s="241">
        <v>0.02278</v>
      </c>
      <c r="I92" s="242">
        <f>E92*H92</f>
        <v>0.50116</v>
      </c>
      <c r="J92" s="243">
        <v>0</v>
      </c>
      <c r="K92" s="241">
        <f>E92*J92</f>
        <v>0</v>
      </c>
      <c r="L92" s="241"/>
    </row>
    <row r="93" spans="1:12" s="251" customFormat="1" ht="17.25" customHeight="1">
      <c r="A93" s="196"/>
      <c r="B93" s="706" t="s">
        <v>1546</v>
      </c>
      <c r="C93" s="716" t="s">
        <v>1705</v>
      </c>
      <c r="D93" s="717">
        <f>4+4+6</f>
        <v>14</v>
      </c>
      <c r="E93" s="718"/>
      <c r="F93" s="718"/>
      <c r="G93" s="719"/>
      <c r="H93" s="249"/>
      <c r="I93" s="250"/>
      <c r="J93" s="250"/>
      <c r="K93" s="250"/>
      <c r="L93" s="250"/>
    </row>
    <row r="94" spans="1:12" s="251" customFormat="1" ht="17.25" customHeight="1">
      <c r="A94" s="733"/>
      <c r="B94" s="706" t="s">
        <v>1565</v>
      </c>
      <c r="C94" s="766">
        <v>8</v>
      </c>
      <c r="D94" s="727">
        <v>8</v>
      </c>
      <c r="E94" s="767"/>
      <c r="F94" s="767"/>
      <c r="G94" s="768"/>
      <c r="H94" s="249"/>
      <c r="I94" s="250"/>
      <c r="J94" s="250"/>
      <c r="K94" s="250"/>
      <c r="L94" s="250"/>
    </row>
    <row r="95" spans="1:20" s="80" customFormat="1" ht="14" thickBot="1">
      <c r="A95" s="218"/>
      <c r="B95" s="219"/>
      <c r="C95" s="220"/>
      <c r="D95" s="221"/>
      <c r="E95" s="222"/>
      <c r="F95" s="223"/>
      <c r="G95" s="224"/>
      <c r="H95" s="77"/>
      <c r="I95" s="77"/>
      <c r="J95" s="77"/>
      <c r="K95" s="77"/>
      <c r="L95" s="77"/>
      <c r="M95" s="77"/>
      <c r="N95" s="78"/>
      <c r="O95" s="79"/>
      <c r="P95" s="79"/>
      <c r="Q95" s="79"/>
      <c r="R95" s="79"/>
      <c r="S95" s="79"/>
      <c r="T95" s="79"/>
    </row>
    <row r="96" spans="1:20" s="80" customFormat="1" ht="13" thickBot="1">
      <c r="A96" s="225"/>
      <c r="B96" s="226"/>
      <c r="C96" s="227" t="s">
        <v>113</v>
      </c>
      <c r="D96" s="226"/>
      <c r="E96" s="228"/>
      <c r="F96" s="229"/>
      <c r="G96" s="230">
        <f>SUBTOTAL(9,G91:G95)</f>
        <v>0</v>
      </c>
      <c r="H96" s="77"/>
      <c r="I96" s="77"/>
      <c r="J96" s="77"/>
      <c r="K96" s="77"/>
      <c r="L96" s="77"/>
      <c r="M96" s="77"/>
      <c r="N96" s="78"/>
      <c r="O96" s="79"/>
      <c r="P96" s="79"/>
      <c r="Q96" s="79"/>
      <c r="R96" s="79"/>
      <c r="S96" s="79"/>
      <c r="T96" s="79"/>
    </row>
    <row r="97" spans="1:20" s="80" customFormat="1" ht="13" thickBot="1">
      <c r="A97" s="179"/>
      <c r="B97" s="180"/>
      <c r="C97" s="180"/>
      <c r="D97" s="180"/>
      <c r="E97" s="180"/>
      <c r="F97" s="180"/>
      <c r="G97" s="181"/>
      <c r="H97" s="77"/>
      <c r="I97" s="77"/>
      <c r="J97" s="77"/>
      <c r="K97" s="77"/>
      <c r="L97" s="77"/>
      <c r="M97" s="77"/>
      <c r="N97" s="78"/>
      <c r="O97" s="79"/>
      <c r="P97" s="79"/>
      <c r="Q97" s="79"/>
      <c r="R97" s="79"/>
      <c r="S97" s="79"/>
      <c r="T97" s="79"/>
    </row>
    <row r="98" spans="1:7" ht="13" thickBot="1">
      <c r="A98" s="182" t="s">
        <v>98</v>
      </c>
      <c r="B98" s="183"/>
      <c r="C98" s="184" t="s">
        <v>122</v>
      </c>
      <c r="D98" s="397"/>
      <c r="E98" s="398"/>
      <c r="F98" s="187"/>
      <c r="G98" s="399"/>
    </row>
    <row r="99" spans="1:7" ht="12.75">
      <c r="A99" s="189"/>
      <c r="B99" s="400"/>
      <c r="C99" s="232"/>
      <c r="D99" s="233"/>
      <c r="E99" s="401"/>
      <c r="F99" s="402"/>
      <c r="G99" s="403"/>
    </row>
    <row r="100" spans="1:20" s="204" customFormat="1" ht="12.75">
      <c r="A100" s="455"/>
      <c r="B100" s="305"/>
      <c r="C100" s="254" t="s">
        <v>1476</v>
      </c>
      <c r="D100" s="305"/>
      <c r="E100" s="586"/>
      <c r="F100" s="586"/>
      <c r="G100" s="756"/>
      <c r="H100" s="85"/>
      <c r="I100" s="85"/>
      <c r="J100" s="85"/>
      <c r="K100" s="85"/>
      <c r="L100" s="85"/>
      <c r="M100" s="85"/>
      <c r="N100" s="202"/>
      <c r="O100" s="203"/>
      <c r="P100" s="203"/>
      <c r="Q100" s="203"/>
      <c r="R100" s="203"/>
      <c r="S100" s="203"/>
      <c r="T100" s="203"/>
    </row>
    <row r="101" spans="1:20" s="204" customFormat="1" ht="24" customHeight="1">
      <c r="A101" s="268" t="s">
        <v>156</v>
      </c>
      <c r="B101" s="197" t="s">
        <v>1437</v>
      </c>
      <c r="C101" s="136" t="s">
        <v>1436</v>
      </c>
      <c r="D101" s="198" t="s">
        <v>46</v>
      </c>
      <c r="E101" s="199">
        <f>SUM(D102:D103)</f>
        <v>60.3</v>
      </c>
      <c r="F101" s="199"/>
      <c r="G101" s="200">
        <f>E101*F101</f>
        <v>0</v>
      </c>
      <c r="H101" s="201">
        <v>0</v>
      </c>
      <c r="I101" s="201">
        <f>E101*H101</f>
        <v>0</v>
      </c>
      <c r="J101" s="85">
        <v>0</v>
      </c>
      <c r="K101" s="85">
        <f>E101*J101</f>
        <v>0</v>
      </c>
      <c r="L101" s="85"/>
      <c r="M101" s="85"/>
      <c r="N101" s="202"/>
      <c r="O101" s="203"/>
      <c r="P101" s="203"/>
      <c r="Q101" s="203"/>
      <c r="R101" s="203"/>
      <c r="S101" s="203"/>
      <c r="T101" s="203"/>
    </row>
    <row r="102" spans="1:20" s="596" customFormat="1" ht="24" customHeight="1">
      <c r="A102" s="683"/>
      <c r="B102" s="681" t="s">
        <v>1460</v>
      </c>
      <c r="C102" s="678" t="s">
        <v>1711</v>
      </c>
      <c r="D102" s="685">
        <f>26.2*0.4+0.02</f>
        <v>10.5</v>
      </c>
      <c r="E102" s="679"/>
      <c r="F102" s="679"/>
      <c r="G102" s="680"/>
      <c r="H102" s="592"/>
      <c r="I102" s="592"/>
      <c r="J102" s="593"/>
      <c r="K102" s="593"/>
      <c r="L102" s="593"/>
      <c r="M102" s="593"/>
      <c r="N102" s="594"/>
      <c r="O102" s="595"/>
      <c r="P102" s="595"/>
      <c r="Q102" s="595"/>
      <c r="R102" s="595"/>
      <c r="S102" s="595"/>
      <c r="T102" s="595"/>
    </row>
    <row r="103" spans="1:20" s="596" customFormat="1" ht="24" customHeight="1">
      <c r="A103" s="683"/>
      <c r="B103" s="682" t="s">
        <v>1461</v>
      </c>
      <c r="C103" s="678" t="s">
        <v>1714</v>
      </c>
      <c r="D103" s="685">
        <f>26.2*1.9+0.02</f>
        <v>49.8</v>
      </c>
      <c r="E103" s="679"/>
      <c r="F103" s="679"/>
      <c r="G103" s="680"/>
      <c r="H103" s="592"/>
      <c r="I103" s="592"/>
      <c r="J103" s="593"/>
      <c r="K103" s="593"/>
      <c r="L103" s="593"/>
      <c r="M103" s="593"/>
      <c r="N103" s="594"/>
      <c r="O103" s="595"/>
      <c r="P103" s="595"/>
      <c r="Q103" s="595"/>
      <c r="R103" s="595"/>
      <c r="S103" s="595"/>
      <c r="T103" s="595"/>
    </row>
    <row r="104" spans="1:20" s="204" customFormat="1" ht="24" customHeight="1">
      <c r="A104" s="268" t="s">
        <v>159</v>
      </c>
      <c r="B104" s="197" t="s">
        <v>1411</v>
      </c>
      <c r="C104" s="136" t="s">
        <v>1412</v>
      </c>
      <c r="D104" s="198" t="s">
        <v>46</v>
      </c>
      <c r="E104" s="199">
        <f>SUM(D105:D106)</f>
        <v>60.3</v>
      </c>
      <c r="F104" s="199"/>
      <c r="G104" s="200">
        <f>E104*F104</f>
        <v>0</v>
      </c>
      <c r="H104" s="201">
        <v>0</v>
      </c>
      <c r="I104" s="201">
        <f>E104*H104</f>
        <v>0</v>
      </c>
      <c r="J104" s="85">
        <v>0</v>
      </c>
      <c r="K104" s="85">
        <f>E104*J104</f>
        <v>0</v>
      </c>
      <c r="L104" s="85"/>
      <c r="M104" s="85"/>
      <c r="N104" s="202"/>
      <c r="O104" s="203"/>
      <c r="P104" s="203"/>
      <c r="Q104" s="203"/>
      <c r="R104" s="203"/>
      <c r="S104" s="203"/>
      <c r="T104" s="203"/>
    </row>
    <row r="105" spans="1:20" s="596" customFormat="1" ht="24" customHeight="1">
      <c r="A105" s="683"/>
      <c r="B105" s="681" t="s">
        <v>1460</v>
      </c>
      <c r="C105" s="678" t="s">
        <v>1711</v>
      </c>
      <c r="D105" s="685">
        <f>26.2*0.4+0.02</f>
        <v>10.5</v>
      </c>
      <c r="E105" s="679"/>
      <c r="F105" s="679"/>
      <c r="G105" s="680"/>
      <c r="H105" s="592"/>
      <c r="I105" s="592"/>
      <c r="J105" s="593"/>
      <c r="K105" s="593"/>
      <c r="L105" s="593"/>
      <c r="M105" s="593"/>
      <c r="N105" s="594"/>
      <c r="O105" s="595"/>
      <c r="P105" s="595"/>
      <c r="Q105" s="595"/>
      <c r="R105" s="595"/>
      <c r="S105" s="595"/>
      <c r="T105" s="595"/>
    </row>
    <row r="106" spans="1:20" s="596" customFormat="1" ht="24" customHeight="1">
      <c r="A106" s="683"/>
      <c r="B106" s="682" t="s">
        <v>1461</v>
      </c>
      <c r="C106" s="678" t="s">
        <v>1714</v>
      </c>
      <c r="D106" s="685">
        <f>26.2*1.9+0.02</f>
        <v>49.8</v>
      </c>
      <c r="E106" s="679"/>
      <c r="F106" s="679"/>
      <c r="G106" s="680"/>
      <c r="H106" s="592"/>
      <c r="I106" s="592"/>
      <c r="J106" s="593"/>
      <c r="K106" s="593"/>
      <c r="L106" s="593"/>
      <c r="M106" s="593"/>
      <c r="N106" s="594"/>
      <c r="O106" s="595"/>
      <c r="P106" s="595"/>
      <c r="Q106" s="595"/>
      <c r="R106" s="595"/>
      <c r="S106" s="595"/>
      <c r="T106" s="595"/>
    </row>
    <row r="107" spans="1:20" s="204" customFormat="1" ht="24" customHeight="1">
      <c r="A107" s="268" t="s">
        <v>162</v>
      </c>
      <c r="B107" s="197" t="s">
        <v>1413</v>
      </c>
      <c r="C107" s="136" t="s">
        <v>1414</v>
      </c>
      <c r="D107" s="198" t="s">
        <v>181</v>
      </c>
      <c r="E107" s="199">
        <f>E104*0.127</f>
        <v>7.6581</v>
      </c>
      <c r="F107" s="199"/>
      <c r="G107" s="200">
        <f>E107*F107</f>
        <v>0</v>
      </c>
      <c r="H107" s="201">
        <v>0</v>
      </c>
      <c r="I107" s="201">
        <f>E107*H107</f>
        <v>0</v>
      </c>
      <c r="J107" s="85">
        <v>0</v>
      </c>
      <c r="K107" s="85">
        <f>E107*J107</f>
        <v>0</v>
      </c>
      <c r="L107" s="85"/>
      <c r="M107" s="85"/>
      <c r="N107" s="202"/>
      <c r="O107" s="203"/>
      <c r="P107" s="203"/>
      <c r="Q107" s="203"/>
      <c r="R107" s="203"/>
      <c r="S107" s="203"/>
      <c r="T107" s="203"/>
    </row>
    <row r="108" spans="1:20" s="204" customFormat="1" ht="30.75" customHeight="1">
      <c r="A108" s="268" t="s">
        <v>164</v>
      </c>
      <c r="B108" s="197" t="s">
        <v>1415</v>
      </c>
      <c r="C108" s="136" t="s">
        <v>1416</v>
      </c>
      <c r="D108" s="198" t="s">
        <v>46</v>
      </c>
      <c r="E108" s="199">
        <f>SUM(D109)</f>
        <v>10.5</v>
      </c>
      <c r="F108" s="199"/>
      <c r="G108" s="200">
        <f>E108*F108</f>
        <v>0</v>
      </c>
      <c r="H108" s="201">
        <v>0</v>
      </c>
      <c r="I108" s="201">
        <f>E108*H108</f>
        <v>0</v>
      </c>
      <c r="J108" s="85">
        <v>0</v>
      </c>
      <c r="K108" s="85">
        <f>E108*J108</f>
        <v>0</v>
      </c>
      <c r="L108" s="85"/>
      <c r="M108" s="85"/>
      <c r="N108" s="202"/>
      <c r="O108" s="203"/>
      <c r="P108" s="203"/>
      <c r="Q108" s="203"/>
      <c r="R108" s="203"/>
      <c r="S108" s="203"/>
      <c r="T108" s="203"/>
    </row>
    <row r="109" spans="1:20" s="596" customFormat="1" ht="24" customHeight="1">
      <c r="A109" s="683"/>
      <c r="B109" s="681" t="s">
        <v>1460</v>
      </c>
      <c r="C109" s="678" t="s">
        <v>1711</v>
      </c>
      <c r="D109" s="685">
        <f>26.2*0.4+0.02</f>
        <v>10.5</v>
      </c>
      <c r="E109" s="679"/>
      <c r="F109" s="679"/>
      <c r="G109" s="680"/>
      <c r="H109" s="592"/>
      <c r="I109" s="592"/>
      <c r="J109" s="593"/>
      <c r="K109" s="593"/>
      <c r="L109" s="593"/>
      <c r="M109" s="593"/>
      <c r="N109" s="594"/>
      <c r="O109" s="595"/>
      <c r="P109" s="595"/>
      <c r="Q109" s="595"/>
      <c r="R109" s="595"/>
      <c r="S109" s="595"/>
      <c r="T109" s="595"/>
    </row>
    <row r="110" spans="1:20" s="204" customFormat="1" ht="24" customHeight="1">
      <c r="A110" s="268" t="s">
        <v>363</v>
      </c>
      <c r="B110" s="197" t="s">
        <v>1417</v>
      </c>
      <c r="C110" s="136" t="s">
        <v>1418</v>
      </c>
      <c r="D110" s="198" t="s">
        <v>181</v>
      </c>
      <c r="E110" s="199">
        <f>E108*1.5</f>
        <v>15.75</v>
      </c>
      <c r="F110" s="199"/>
      <c r="G110" s="200">
        <f>E110*F110</f>
        <v>0</v>
      </c>
      <c r="H110" s="201">
        <v>0.001</v>
      </c>
      <c r="I110" s="201">
        <f>E110*H110</f>
        <v>0.01575</v>
      </c>
      <c r="J110" s="85">
        <v>0</v>
      </c>
      <c r="K110" s="85">
        <f>E110*J110</f>
        <v>0</v>
      </c>
      <c r="L110" s="85"/>
      <c r="M110" s="85"/>
      <c r="N110" s="202"/>
      <c r="O110" s="203"/>
      <c r="P110" s="203"/>
      <c r="Q110" s="203"/>
      <c r="R110" s="203"/>
      <c r="S110" s="203"/>
      <c r="T110" s="203"/>
    </row>
    <row r="111" spans="1:20" s="204" customFormat="1" ht="24" customHeight="1">
      <c r="A111" s="268" t="s">
        <v>364</v>
      </c>
      <c r="B111" s="197" t="s">
        <v>1411</v>
      </c>
      <c r="C111" s="136" t="s">
        <v>1454</v>
      </c>
      <c r="D111" s="198" t="s">
        <v>46</v>
      </c>
      <c r="E111" s="199">
        <f>SUM(D112:D112)</f>
        <v>10.5</v>
      </c>
      <c r="F111" s="199"/>
      <c r="G111" s="200">
        <f>E111*F111</f>
        <v>0</v>
      </c>
      <c r="H111" s="201">
        <v>0</v>
      </c>
      <c r="I111" s="201">
        <f>E111*H111</f>
        <v>0</v>
      </c>
      <c r="J111" s="85">
        <v>0</v>
      </c>
      <c r="K111" s="85">
        <f>E111*J111</f>
        <v>0</v>
      </c>
      <c r="L111" s="85"/>
      <c r="M111" s="85"/>
      <c r="N111" s="202"/>
      <c r="O111" s="203"/>
      <c r="P111" s="203"/>
      <c r="Q111" s="203"/>
      <c r="R111" s="203"/>
      <c r="S111" s="203"/>
      <c r="T111" s="203"/>
    </row>
    <row r="112" spans="1:20" s="596" customFormat="1" ht="24" customHeight="1">
      <c r="A112" s="683"/>
      <c r="B112" s="681" t="s">
        <v>1460</v>
      </c>
      <c r="C112" s="678" t="s">
        <v>1711</v>
      </c>
      <c r="D112" s="685">
        <f>26.2*0.4+0.02</f>
        <v>10.5</v>
      </c>
      <c r="E112" s="679"/>
      <c r="F112" s="679"/>
      <c r="G112" s="680"/>
      <c r="H112" s="592"/>
      <c r="I112" s="592"/>
      <c r="J112" s="593"/>
      <c r="K112" s="593"/>
      <c r="L112" s="593"/>
      <c r="M112" s="593"/>
      <c r="N112" s="594"/>
      <c r="O112" s="595"/>
      <c r="P112" s="595"/>
      <c r="Q112" s="595"/>
      <c r="R112" s="595"/>
      <c r="S112" s="595"/>
      <c r="T112" s="595"/>
    </row>
    <row r="113" spans="1:20" s="204" customFormat="1" ht="24" customHeight="1">
      <c r="A113" s="268" t="s">
        <v>365</v>
      </c>
      <c r="B113" s="197" t="s">
        <v>1419</v>
      </c>
      <c r="C113" s="136" t="s">
        <v>1420</v>
      </c>
      <c r="D113" s="198" t="s">
        <v>181</v>
      </c>
      <c r="E113" s="199">
        <f>E111*0.127</f>
        <v>1.3335</v>
      </c>
      <c r="F113" s="199"/>
      <c r="G113" s="200">
        <f>E113*F113</f>
        <v>0</v>
      </c>
      <c r="H113" s="201">
        <v>0</v>
      </c>
      <c r="I113" s="201">
        <f>E113*H113</f>
        <v>0</v>
      </c>
      <c r="J113" s="85">
        <v>0</v>
      </c>
      <c r="K113" s="85">
        <f>E113*J113</f>
        <v>0</v>
      </c>
      <c r="L113" s="85"/>
      <c r="M113" s="85"/>
      <c r="N113" s="202"/>
      <c r="O113" s="203"/>
      <c r="P113" s="203"/>
      <c r="Q113" s="203"/>
      <c r="R113" s="203"/>
      <c r="S113" s="203"/>
      <c r="T113" s="203"/>
    </row>
    <row r="114" spans="1:20" s="204" customFormat="1" ht="30" customHeight="1">
      <c r="A114" s="268" t="s">
        <v>366</v>
      </c>
      <c r="B114" s="197" t="s">
        <v>1467</v>
      </c>
      <c r="C114" s="136" t="s">
        <v>1440</v>
      </c>
      <c r="D114" s="198" t="s">
        <v>46</v>
      </c>
      <c r="E114" s="199">
        <f>SUM(D115:D115)</f>
        <v>10.5</v>
      </c>
      <c r="F114" s="199"/>
      <c r="G114" s="200">
        <f>E114*F114</f>
        <v>0</v>
      </c>
      <c r="H114" s="201">
        <v>0.0234</v>
      </c>
      <c r="I114" s="201">
        <f>E114*H114</f>
        <v>0.2457</v>
      </c>
      <c r="J114" s="85">
        <v>0</v>
      </c>
      <c r="K114" s="85">
        <f>E114*J114</f>
        <v>0</v>
      </c>
      <c r="L114" s="85"/>
      <c r="M114" s="85"/>
      <c r="N114" s="202"/>
      <c r="O114" s="203"/>
      <c r="P114" s="203"/>
      <c r="Q114" s="203"/>
      <c r="R114" s="203"/>
      <c r="S114" s="203"/>
      <c r="T114" s="203"/>
    </row>
    <row r="115" spans="1:20" s="596" customFormat="1" ht="24" customHeight="1">
      <c r="A115" s="683"/>
      <c r="B115" s="681" t="s">
        <v>1460</v>
      </c>
      <c r="C115" s="678" t="s">
        <v>1711</v>
      </c>
      <c r="D115" s="685">
        <f>26.2*0.4+0.02</f>
        <v>10.5</v>
      </c>
      <c r="E115" s="679"/>
      <c r="F115" s="679"/>
      <c r="G115" s="680"/>
      <c r="H115" s="592"/>
      <c r="I115" s="592"/>
      <c r="J115" s="593"/>
      <c r="K115" s="593"/>
      <c r="L115" s="593"/>
      <c r="M115" s="593"/>
      <c r="N115" s="594"/>
      <c r="O115" s="595"/>
      <c r="P115" s="595"/>
      <c r="Q115" s="595"/>
      <c r="R115" s="595"/>
      <c r="S115" s="595"/>
      <c r="T115" s="595"/>
    </row>
    <row r="116" spans="1:20" s="204" customFormat="1" ht="24" customHeight="1">
      <c r="A116" s="268" t="s">
        <v>367</v>
      </c>
      <c r="B116" s="197" t="s">
        <v>1466</v>
      </c>
      <c r="C116" s="136" t="s">
        <v>1465</v>
      </c>
      <c r="D116" s="198" t="s">
        <v>46</v>
      </c>
      <c r="E116" s="199">
        <f>SUM(D117)</f>
        <v>49.8</v>
      </c>
      <c r="F116" s="199"/>
      <c r="G116" s="200">
        <f>E116*F116</f>
        <v>0</v>
      </c>
      <c r="H116" s="201">
        <v>0.01325</v>
      </c>
      <c r="I116" s="201">
        <f>E116*H116</f>
        <v>0.6598499999999999</v>
      </c>
      <c r="J116" s="85">
        <v>0</v>
      </c>
      <c r="K116" s="85">
        <f>E116*J116</f>
        <v>0</v>
      </c>
      <c r="L116" s="85"/>
      <c r="M116" s="85"/>
      <c r="N116" s="202"/>
      <c r="O116" s="203"/>
      <c r="P116" s="203"/>
      <c r="Q116" s="203"/>
      <c r="R116" s="203"/>
      <c r="S116" s="203"/>
      <c r="T116" s="203"/>
    </row>
    <row r="117" spans="1:20" s="596" customFormat="1" ht="24" customHeight="1">
      <c r="A117" s="683"/>
      <c r="B117" s="682" t="s">
        <v>1461</v>
      </c>
      <c r="C117" s="678" t="s">
        <v>1714</v>
      </c>
      <c r="D117" s="685">
        <f>26.2*1.9+0.02</f>
        <v>49.8</v>
      </c>
      <c r="E117" s="679"/>
      <c r="F117" s="679"/>
      <c r="G117" s="680"/>
      <c r="H117" s="592"/>
      <c r="I117" s="592"/>
      <c r="J117" s="593"/>
      <c r="K117" s="593"/>
      <c r="L117" s="593"/>
      <c r="M117" s="593"/>
      <c r="N117" s="594"/>
      <c r="O117" s="595"/>
      <c r="P117" s="595"/>
      <c r="Q117" s="595"/>
      <c r="R117" s="595"/>
      <c r="S117" s="595"/>
      <c r="T117" s="595"/>
    </row>
    <row r="118" spans="1:20" s="204" customFormat="1" ht="24" customHeight="1">
      <c r="A118" s="268" t="s">
        <v>493</v>
      </c>
      <c r="B118" s="197">
        <v>612321121</v>
      </c>
      <c r="C118" s="136" t="s">
        <v>2419</v>
      </c>
      <c r="D118" s="198" t="s">
        <v>46</v>
      </c>
      <c r="E118" s="199">
        <f>SUM(D119)</f>
        <v>49.8</v>
      </c>
      <c r="F118" s="199"/>
      <c r="G118" s="200">
        <f>E118*F118</f>
        <v>0</v>
      </c>
      <c r="H118" s="201">
        <v>0.0154</v>
      </c>
      <c r="I118" s="201">
        <f>E118*H118</f>
        <v>0.7669199999999999</v>
      </c>
      <c r="J118" s="85">
        <v>0</v>
      </c>
      <c r="K118" s="85">
        <f>E118*J118</f>
        <v>0</v>
      </c>
      <c r="L118" s="85"/>
      <c r="M118" s="85"/>
      <c r="N118" s="202"/>
      <c r="O118" s="203"/>
      <c r="P118" s="203"/>
      <c r="Q118" s="203"/>
      <c r="R118" s="203"/>
      <c r="S118" s="203"/>
      <c r="T118" s="203"/>
    </row>
    <row r="119" spans="1:20" s="596" customFormat="1" ht="24" customHeight="1">
      <c r="A119" s="683"/>
      <c r="B119" s="682" t="s">
        <v>1461</v>
      </c>
      <c r="C119" s="678" t="s">
        <v>1714</v>
      </c>
      <c r="D119" s="685">
        <f>26.2*1.9+0.02</f>
        <v>49.8</v>
      </c>
      <c r="E119" s="679"/>
      <c r="F119" s="679"/>
      <c r="G119" s="680"/>
      <c r="H119" s="592"/>
      <c r="I119" s="592"/>
      <c r="J119" s="593"/>
      <c r="K119" s="593"/>
      <c r="L119" s="593"/>
      <c r="M119" s="593"/>
      <c r="N119" s="594"/>
      <c r="O119" s="595"/>
      <c r="P119" s="595"/>
      <c r="Q119" s="595"/>
      <c r="R119" s="595"/>
      <c r="S119" s="595"/>
      <c r="T119" s="595"/>
    </row>
    <row r="120" spans="1:20" s="204" customFormat="1" ht="24" customHeight="1">
      <c r="A120" s="268" t="s">
        <v>494</v>
      </c>
      <c r="B120" s="197">
        <v>612142001</v>
      </c>
      <c r="C120" s="136" t="s">
        <v>132</v>
      </c>
      <c r="D120" s="198" t="s">
        <v>46</v>
      </c>
      <c r="E120" s="199">
        <f>SUM(D121:D121)</f>
        <v>1.304</v>
      </c>
      <c r="F120" s="199"/>
      <c r="G120" s="200">
        <f>E120*F120</f>
        <v>0</v>
      </c>
      <c r="H120" s="201">
        <v>0.00438</v>
      </c>
      <c r="I120" s="201">
        <f>E120*H120</f>
        <v>0.00571152</v>
      </c>
      <c r="J120" s="85">
        <v>0</v>
      </c>
      <c r="K120" s="85">
        <f>E120*J120</f>
        <v>0</v>
      </c>
      <c r="L120" s="85"/>
      <c r="M120" s="85"/>
      <c r="N120" s="202"/>
      <c r="O120" s="203"/>
      <c r="P120" s="203"/>
      <c r="Q120" s="203"/>
      <c r="R120" s="203"/>
      <c r="S120" s="203"/>
      <c r="T120" s="203"/>
    </row>
    <row r="121" spans="1:14" s="595" customFormat="1" ht="21.75" customHeight="1">
      <c r="A121" s="683"/>
      <c r="B121" s="686" t="s">
        <v>1568</v>
      </c>
      <c r="C121" s="245" t="s">
        <v>1716</v>
      </c>
      <c r="D121" s="685">
        <f>(1.07*1.2)+0.02</f>
        <v>1.304</v>
      </c>
      <c r="E121" s="688"/>
      <c r="F121" s="688"/>
      <c r="G121" s="689"/>
      <c r="H121" s="593"/>
      <c r="I121" s="593"/>
      <c r="J121" s="593"/>
      <c r="K121" s="593"/>
      <c r="L121" s="593"/>
      <c r="M121" s="593"/>
      <c r="N121" s="594"/>
    </row>
    <row r="122" spans="1:20" s="271" customFormat="1" ht="12.75">
      <c r="A122" s="268"/>
      <c r="B122" s="269"/>
      <c r="C122" s="270"/>
      <c r="D122" s="269"/>
      <c r="E122" s="669"/>
      <c r="F122" s="669"/>
      <c r="G122" s="274"/>
      <c r="H122" s="85"/>
      <c r="I122" s="85"/>
      <c r="J122" s="85"/>
      <c r="K122" s="85"/>
      <c r="L122" s="85"/>
      <c r="M122" s="85"/>
      <c r="N122" s="202"/>
      <c r="O122" s="203"/>
      <c r="P122" s="203"/>
      <c r="Q122" s="203"/>
      <c r="R122" s="203"/>
      <c r="S122" s="203"/>
      <c r="T122" s="203"/>
    </row>
    <row r="123" spans="1:20" s="271" customFormat="1" ht="13">
      <c r="A123" s="268" t="s">
        <v>495</v>
      </c>
      <c r="B123" s="674" t="s">
        <v>1574</v>
      </c>
      <c r="C123" s="270" t="s">
        <v>261</v>
      </c>
      <c r="D123" s="269" t="s">
        <v>46</v>
      </c>
      <c r="E123" s="199">
        <f>SUM(D124)</f>
        <v>36.095</v>
      </c>
      <c r="F123" s="199"/>
      <c r="G123" s="200">
        <f>E123*F123</f>
        <v>0</v>
      </c>
      <c r="H123" s="85">
        <v>0.017</v>
      </c>
      <c r="I123" s="201">
        <f>E123*H123</f>
        <v>0.613615</v>
      </c>
      <c r="J123" s="85">
        <v>0</v>
      </c>
      <c r="K123" s="85">
        <f>E123*J123</f>
        <v>0</v>
      </c>
      <c r="L123" s="85"/>
      <c r="M123" s="85"/>
      <c r="N123" s="202"/>
      <c r="O123" s="203"/>
      <c r="P123" s="203"/>
      <c r="Q123" s="203"/>
      <c r="R123" s="203"/>
      <c r="S123" s="203"/>
      <c r="T123" s="203"/>
    </row>
    <row r="124" spans="1:15" s="251" customFormat="1" ht="17.25" customHeight="1">
      <c r="A124" s="196"/>
      <c r="B124" s="205"/>
      <c r="C124" s="245" t="s">
        <v>1713</v>
      </c>
      <c r="D124" s="246">
        <f>(26.2)*1.3+2.85*0.7+0.04</f>
        <v>36.095</v>
      </c>
      <c r="E124" s="247"/>
      <c r="F124" s="247"/>
      <c r="G124" s="248"/>
      <c r="H124" s="249"/>
      <c r="I124" s="250"/>
      <c r="J124" s="250"/>
      <c r="K124" s="724"/>
      <c r="L124" s="250"/>
      <c r="N124" s="202"/>
      <c r="O124" s="203"/>
    </row>
    <row r="125" spans="1:20" s="204" customFormat="1" ht="30" customHeight="1">
      <c r="A125" s="268" t="s">
        <v>496</v>
      </c>
      <c r="B125" s="674">
        <v>611325422</v>
      </c>
      <c r="C125" s="270" t="s">
        <v>1710</v>
      </c>
      <c r="D125" s="668" t="s">
        <v>46</v>
      </c>
      <c r="E125" s="669">
        <f>SUM(D126)</f>
        <v>41</v>
      </c>
      <c r="F125" s="669"/>
      <c r="G125" s="200">
        <f>E125*F125</f>
        <v>0</v>
      </c>
      <c r="H125" s="201">
        <v>0.017</v>
      </c>
      <c r="I125" s="201">
        <f>E125*H125</f>
        <v>0.6970000000000001</v>
      </c>
      <c r="J125" s="85">
        <v>0</v>
      </c>
      <c r="K125" s="673">
        <f>E125*J125</f>
        <v>0</v>
      </c>
      <c r="L125" s="673"/>
      <c r="M125" s="85"/>
      <c r="N125" s="202"/>
      <c r="O125" s="203"/>
      <c r="P125" s="203"/>
      <c r="Q125" s="203"/>
      <c r="R125" s="203"/>
      <c r="S125" s="203"/>
      <c r="T125" s="203"/>
    </row>
    <row r="126" spans="1:20" s="214" customFormat="1" ht="15" customHeight="1">
      <c r="A126" s="196"/>
      <c r="B126" s="205" t="s">
        <v>1386</v>
      </c>
      <c r="C126" s="784">
        <v>41</v>
      </c>
      <c r="D126" s="207">
        <v>41</v>
      </c>
      <c r="E126" s="208"/>
      <c r="F126" s="208"/>
      <c r="G126" s="209"/>
      <c r="H126" s="210"/>
      <c r="I126" s="210"/>
      <c r="J126" s="211"/>
      <c r="K126" s="673"/>
      <c r="L126" s="705"/>
      <c r="M126" s="211"/>
      <c r="N126" s="212"/>
      <c r="O126" s="213"/>
      <c r="P126" s="213"/>
      <c r="Q126" s="213"/>
      <c r="R126" s="213"/>
      <c r="S126" s="213"/>
      <c r="T126" s="213"/>
    </row>
    <row r="127" spans="1:20" s="271" customFormat="1" ht="22.5" customHeight="1">
      <c r="A127" s="268" t="s">
        <v>497</v>
      </c>
      <c r="B127" s="674" t="s">
        <v>1438</v>
      </c>
      <c r="C127" s="270" t="s">
        <v>1439</v>
      </c>
      <c r="D127" s="269" t="s">
        <v>46</v>
      </c>
      <c r="E127" s="199">
        <f>SUM(D128)</f>
        <v>57.7</v>
      </c>
      <c r="F127" s="199"/>
      <c r="G127" s="200">
        <f>E127*F127</f>
        <v>0</v>
      </c>
      <c r="H127" s="85">
        <v>0.003</v>
      </c>
      <c r="I127" s="201">
        <f>E127*H127</f>
        <v>0.1731</v>
      </c>
      <c r="J127" s="85">
        <v>0</v>
      </c>
      <c r="K127" s="85">
        <f>E127*J127</f>
        <v>0</v>
      </c>
      <c r="L127" s="85"/>
      <c r="M127" s="85"/>
      <c r="N127" s="202"/>
      <c r="O127" s="203"/>
      <c r="P127" s="203"/>
      <c r="Q127" s="203"/>
      <c r="R127" s="203"/>
      <c r="S127" s="203"/>
      <c r="T127" s="203"/>
    </row>
    <row r="128" spans="1:20" s="596" customFormat="1" ht="18" customHeight="1">
      <c r="A128" s="720"/>
      <c r="B128" s="721"/>
      <c r="C128" s="678" t="s">
        <v>1715</v>
      </c>
      <c r="D128" s="685">
        <f>26.2*2.2+0.06</f>
        <v>57.7</v>
      </c>
      <c r="E128" s="679"/>
      <c r="F128" s="679"/>
      <c r="G128" s="680"/>
      <c r="H128" s="592"/>
      <c r="I128" s="592"/>
      <c r="J128" s="593"/>
      <c r="K128" s="593"/>
      <c r="L128" s="593"/>
      <c r="M128" s="593"/>
      <c r="N128" s="594"/>
      <c r="O128" s="595"/>
      <c r="P128" s="595"/>
      <c r="Q128" s="595"/>
      <c r="R128" s="595"/>
      <c r="S128" s="595"/>
      <c r="T128" s="595"/>
    </row>
    <row r="129" spans="1:20" s="271" customFormat="1" ht="12.75">
      <c r="A129" s="268"/>
      <c r="B129" s="269"/>
      <c r="C129" s="270"/>
      <c r="D129" s="269"/>
      <c r="E129" s="669"/>
      <c r="F129" s="669"/>
      <c r="G129" s="274"/>
      <c r="H129" s="85"/>
      <c r="I129" s="85"/>
      <c r="J129" s="85"/>
      <c r="K129" s="85"/>
      <c r="L129" s="85"/>
      <c r="M129" s="85"/>
      <c r="N129" s="202"/>
      <c r="O129" s="203"/>
      <c r="P129" s="203"/>
      <c r="Q129" s="203"/>
      <c r="R129" s="203"/>
      <c r="S129" s="203"/>
      <c r="T129" s="203"/>
    </row>
    <row r="130" spans="1:20" s="271" customFormat="1" ht="21.75" customHeight="1">
      <c r="A130" s="268"/>
      <c r="B130" s="269"/>
      <c r="C130" s="254" t="s">
        <v>135</v>
      </c>
      <c r="D130" s="269"/>
      <c r="E130" s="669"/>
      <c r="F130" s="669"/>
      <c r="G130" s="274"/>
      <c r="H130" s="85"/>
      <c r="I130" s="85"/>
      <c r="J130" s="85"/>
      <c r="K130" s="85"/>
      <c r="L130" s="85"/>
      <c r="M130" s="85"/>
      <c r="N130" s="202"/>
      <c r="O130" s="203"/>
      <c r="P130" s="203"/>
      <c r="Q130" s="203"/>
      <c r="R130" s="203"/>
      <c r="S130" s="203"/>
      <c r="T130" s="203"/>
    </row>
    <row r="131" spans="1:20" s="204" customFormat="1" ht="24" customHeight="1">
      <c r="A131" s="268" t="s">
        <v>498</v>
      </c>
      <c r="B131" s="197" t="s">
        <v>1585</v>
      </c>
      <c r="C131" s="136" t="s">
        <v>1586</v>
      </c>
      <c r="D131" s="198" t="s">
        <v>116</v>
      </c>
      <c r="E131" s="199">
        <f>SUM(D132)</f>
        <v>8.200000000000001</v>
      </c>
      <c r="F131" s="199"/>
      <c r="G131" s="240">
        <f>$E131*F131</f>
        <v>0</v>
      </c>
      <c r="H131" s="201">
        <v>0.00105</v>
      </c>
      <c r="I131" s="242">
        <f>E131*H131</f>
        <v>0.008610000000000001</v>
      </c>
      <c r="J131" s="243">
        <v>0</v>
      </c>
      <c r="K131" s="241">
        <f>E131*J131</f>
        <v>0</v>
      </c>
      <c r="L131" s="85"/>
      <c r="M131" s="85"/>
      <c r="N131" s="202"/>
      <c r="O131" s="203"/>
      <c r="P131" s="203"/>
      <c r="Q131" s="203"/>
      <c r="R131" s="203"/>
      <c r="S131" s="203"/>
      <c r="T131" s="203"/>
    </row>
    <row r="132" spans="1:20" s="214" customFormat="1" ht="15" customHeight="1">
      <c r="A132" s="196"/>
      <c r="B132" s="205"/>
      <c r="C132" s="206" t="s">
        <v>1706</v>
      </c>
      <c r="D132" s="207">
        <f>41*0.2</f>
        <v>8.200000000000001</v>
      </c>
      <c r="E132" s="208"/>
      <c r="F132" s="208"/>
      <c r="G132" s="209"/>
      <c r="H132" s="210"/>
      <c r="I132" s="210"/>
      <c r="J132" s="211"/>
      <c r="K132" s="85"/>
      <c r="L132" s="211"/>
      <c r="M132" s="211"/>
      <c r="N132" s="212"/>
      <c r="O132" s="213"/>
      <c r="P132" s="213"/>
      <c r="Q132" s="213"/>
      <c r="R132" s="213"/>
      <c r="S132" s="213"/>
      <c r="T132" s="213"/>
    </row>
    <row r="133" spans="1:20" s="204" customFormat="1" ht="24" customHeight="1">
      <c r="A133" s="268" t="s">
        <v>499</v>
      </c>
      <c r="B133" s="197" t="s">
        <v>1587</v>
      </c>
      <c r="C133" s="136" t="s">
        <v>1588</v>
      </c>
      <c r="D133" s="198" t="s">
        <v>46</v>
      </c>
      <c r="E133" s="199">
        <v>41</v>
      </c>
      <c r="F133" s="199"/>
      <c r="G133" s="240">
        <f>$E133*F133</f>
        <v>0</v>
      </c>
      <c r="H133" s="201">
        <v>0.00105</v>
      </c>
      <c r="I133" s="242">
        <f aca="true" t="shared" si="0" ref="I133:I141">E133*H133</f>
        <v>0.04305</v>
      </c>
      <c r="J133" s="243">
        <v>0</v>
      </c>
      <c r="K133" s="241">
        <f aca="true" t="shared" si="1" ref="K133:K141">E133*J133</f>
        <v>0</v>
      </c>
      <c r="L133" s="85"/>
      <c r="M133" s="85"/>
      <c r="N133" s="202"/>
      <c r="O133" s="203"/>
      <c r="P133" s="203"/>
      <c r="Q133" s="203"/>
      <c r="R133" s="203"/>
      <c r="S133" s="203"/>
      <c r="T133" s="203"/>
    </row>
    <row r="134" spans="1:20" s="204" customFormat="1" ht="24" customHeight="1">
      <c r="A134" s="268" t="s">
        <v>500</v>
      </c>
      <c r="B134" s="197">
        <v>632681111</v>
      </c>
      <c r="C134" s="136" t="s">
        <v>1589</v>
      </c>
      <c r="D134" s="198" t="s">
        <v>175</v>
      </c>
      <c r="E134" s="199">
        <v>20</v>
      </c>
      <c r="F134" s="199"/>
      <c r="G134" s="240">
        <f>$E134*F134</f>
        <v>0</v>
      </c>
      <c r="H134" s="201">
        <v>9E-05</v>
      </c>
      <c r="I134" s="242">
        <f t="shared" si="0"/>
        <v>0.0018000000000000002</v>
      </c>
      <c r="J134" s="243">
        <v>0</v>
      </c>
      <c r="K134" s="241">
        <f t="shared" si="1"/>
        <v>0</v>
      </c>
      <c r="L134" s="85"/>
      <c r="M134" s="85"/>
      <c r="N134" s="202"/>
      <c r="O134" s="203"/>
      <c r="P134" s="203"/>
      <c r="Q134" s="203"/>
      <c r="R134" s="203"/>
      <c r="S134" s="203"/>
      <c r="T134" s="203"/>
    </row>
    <row r="135" spans="1:20" s="204" customFormat="1" ht="21.75" customHeight="1">
      <c r="A135" s="268" t="s">
        <v>501</v>
      </c>
      <c r="B135" s="197">
        <v>711111002</v>
      </c>
      <c r="C135" s="136" t="s">
        <v>1478</v>
      </c>
      <c r="D135" s="198" t="s">
        <v>46</v>
      </c>
      <c r="E135" s="199">
        <v>41</v>
      </c>
      <c r="F135" s="199"/>
      <c r="G135" s="200">
        <f aca="true" t="shared" si="2" ref="G135:G141">E135*F135</f>
        <v>0</v>
      </c>
      <c r="H135" s="201">
        <v>0</v>
      </c>
      <c r="I135" s="201">
        <f t="shared" si="0"/>
        <v>0</v>
      </c>
      <c r="J135" s="85">
        <v>0</v>
      </c>
      <c r="K135" s="85">
        <f t="shared" si="1"/>
        <v>0</v>
      </c>
      <c r="L135" s="85"/>
      <c r="M135" s="85"/>
      <c r="N135" s="202"/>
      <c r="O135" s="203"/>
      <c r="P135" s="203"/>
      <c r="Q135" s="203"/>
      <c r="R135" s="203"/>
      <c r="S135" s="203"/>
      <c r="T135" s="203"/>
    </row>
    <row r="136" spans="1:20" s="204" customFormat="1" ht="21.75" customHeight="1">
      <c r="A136" s="268" t="s">
        <v>655</v>
      </c>
      <c r="B136" s="672">
        <v>11163152</v>
      </c>
      <c r="C136" s="667" t="s">
        <v>1479</v>
      </c>
      <c r="D136" s="668" t="s">
        <v>73</v>
      </c>
      <c r="E136" s="669">
        <f>0.00039*E135</f>
        <v>0.01599</v>
      </c>
      <c r="F136" s="669"/>
      <c r="G136" s="200">
        <f t="shared" si="2"/>
        <v>0</v>
      </c>
      <c r="H136" s="201">
        <v>1</v>
      </c>
      <c r="I136" s="201">
        <f t="shared" si="0"/>
        <v>0.01599</v>
      </c>
      <c r="J136" s="85">
        <v>0</v>
      </c>
      <c r="K136" s="85">
        <f t="shared" si="1"/>
        <v>0</v>
      </c>
      <c r="L136" s="85"/>
      <c r="M136" s="85"/>
      <c r="N136" s="202"/>
      <c r="O136" s="203"/>
      <c r="P136" s="203"/>
      <c r="Q136" s="203"/>
      <c r="R136" s="203"/>
      <c r="S136" s="203"/>
      <c r="T136" s="203"/>
    </row>
    <row r="137" spans="1:20" s="204" customFormat="1" ht="30.75" customHeight="1">
      <c r="A137" s="268" t="s">
        <v>656</v>
      </c>
      <c r="B137" s="663" t="s">
        <v>179</v>
      </c>
      <c r="C137" s="666" t="s">
        <v>1421</v>
      </c>
      <c r="D137" s="664" t="s">
        <v>46</v>
      </c>
      <c r="E137" s="665">
        <f>E135</f>
        <v>41</v>
      </c>
      <c r="F137" s="665"/>
      <c r="G137" s="200">
        <f t="shared" si="2"/>
        <v>0</v>
      </c>
      <c r="H137" s="201">
        <v>0.000127</v>
      </c>
      <c r="I137" s="242">
        <f t="shared" si="0"/>
        <v>0.005207</v>
      </c>
      <c r="J137" s="243">
        <v>0</v>
      </c>
      <c r="K137" s="241">
        <f t="shared" si="1"/>
        <v>0</v>
      </c>
      <c r="L137" s="85"/>
      <c r="M137" s="85"/>
      <c r="N137" s="202"/>
      <c r="O137" s="203"/>
      <c r="P137" s="203"/>
      <c r="Q137" s="203"/>
      <c r="R137" s="203"/>
      <c r="S137" s="203"/>
      <c r="T137" s="203"/>
    </row>
    <row r="138" spans="1:20" s="204" customFormat="1" ht="24" customHeight="1">
      <c r="A138" s="268" t="s">
        <v>657</v>
      </c>
      <c r="B138" s="663" t="s">
        <v>1417</v>
      </c>
      <c r="C138" s="666" t="s">
        <v>1482</v>
      </c>
      <c r="D138" s="664" t="s">
        <v>181</v>
      </c>
      <c r="E138" s="665">
        <f>E137*1.5</f>
        <v>61.5</v>
      </c>
      <c r="F138" s="665"/>
      <c r="G138" s="200">
        <f t="shared" si="2"/>
        <v>0</v>
      </c>
      <c r="H138" s="201">
        <v>0</v>
      </c>
      <c r="I138" s="242">
        <f t="shared" si="0"/>
        <v>0</v>
      </c>
      <c r="J138" s="243">
        <v>0</v>
      </c>
      <c r="K138" s="241">
        <f t="shared" si="1"/>
        <v>0</v>
      </c>
      <c r="L138" s="85"/>
      <c r="M138" s="85"/>
      <c r="N138" s="202"/>
      <c r="O138" s="203"/>
      <c r="P138" s="203"/>
      <c r="Q138" s="203"/>
      <c r="R138" s="203"/>
      <c r="S138" s="203"/>
      <c r="T138" s="203"/>
    </row>
    <row r="139" spans="1:20" s="271" customFormat="1" ht="17.25" customHeight="1">
      <c r="A139" s="268" t="s">
        <v>658</v>
      </c>
      <c r="B139" s="269" t="s">
        <v>144</v>
      </c>
      <c r="C139" s="270" t="s">
        <v>1112</v>
      </c>
      <c r="D139" s="269" t="s">
        <v>46</v>
      </c>
      <c r="E139" s="669">
        <v>41</v>
      </c>
      <c r="F139" s="669"/>
      <c r="G139" s="200">
        <f t="shared" si="2"/>
        <v>0</v>
      </c>
      <c r="H139" s="85">
        <v>0.11</v>
      </c>
      <c r="I139" s="201">
        <f t="shared" si="0"/>
        <v>4.51</v>
      </c>
      <c r="J139" s="85">
        <v>0</v>
      </c>
      <c r="K139" s="85">
        <f t="shared" si="1"/>
        <v>0</v>
      </c>
      <c r="L139" s="85"/>
      <c r="M139" s="85"/>
      <c r="N139" s="202"/>
      <c r="O139" s="203"/>
      <c r="P139" s="203"/>
      <c r="Q139" s="203"/>
      <c r="R139" s="203"/>
      <c r="S139" s="203"/>
      <c r="T139" s="203"/>
    </row>
    <row r="140" spans="1:20" s="271" customFormat="1" ht="22">
      <c r="A140" s="268" t="s">
        <v>659</v>
      </c>
      <c r="B140" s="269" t="s">
        <v>146</v>
      </c>
      <c r="C140" s="270" t="s">
        <v>1113</v>
      </c>
      <c r="D140" s="269" t="s">
        <v>46</v>
      </c>
      <c r="E140" s="669">
        <f>E139*4</f>
        <v>164</v>
      </c>
      <c r="F140" s="669"/>
      <c r="G140" s="200">
        <f t="shared" si="2"/>
        <v>0</v>
      </c>
      <c r="H140" s="85">
        <v>0.011</v>
      </c>
      <c r="I140" s="201">
        <f t="shared" si="0"/>
        <v>1.8039999999999998</v>
      </c>
      <c r="J140" s="85">
        <v>0</v>
      </c>
      <c r="K140" s="85">
        <f t="shared" si="1"/>
        <v>0</v>
      </c>
      <c r="L140" s="85"/>
      <c r="M140" s="85"/>
      <c r="N140" s="202"/>
      <c r="O140" s="203"/>
      <c r="P140" s="203"/>
      <c r="Q140" s="203"/>
      <c r="R140" s="203"/>
      <c r="S140" s="203"/>
      <c r="T140" s="203"/>
    </row>
    <row r="141" spans="1:20" s="244" customFormat="1" ht="21.75" customHeight="1">
      <c r="A141" s="268" t="s">
        <v>660</v>
      </c>
      <c r="B141" s="197" t="s">
        <v>142</v>
      </c>
      <c r="C141" s="294" t="s">
        <v>148</v>
      </c>
      <c r="D141" s="295" t="s">
        <v>73</v>
      </c>
      <c r="E141" s="404">
        <f>SUM(D142)</f>
        <v>0.254856</v>
      </c>
      <c r="F141" s="404"/>
      <c r="G141" s="200">
        <f t="shared" si="2"/>
        <v>0</v>
      </c>
      <c r="H141" s="242">
        <v>1.06277</v>
      </c>
      <c r="I141" s="242">
        <f t="shared" si="0"/>
        <v>0.27085331112000005</v>
      </c>
      <c r="J141" s="243">
        <v>0</v>
      </c>
      <c r="K141" s="243">
        <f t="shared" si="1"/>
        <v>0</v>
      </c>
      <c r="L141" s="243"/>
      <c r="M141" s="243"/>
      <c r="N141" s="405"/>
      <c r="O141" s="406"/>
      <c r="P141" s="406"/>
      <c r="Q141" s="406"/>
      <c r="R141" s="406"/>
      <c r="S141" s="406"/>
      <c r="T141" s="406"/>
    </row>
    <row r="142" spans="1:20" s="214" customFormat="1" ht="15" customHeight="1">
      <c r="A142" s="196"/>
      <c r="B142" s="205"/>
      <c r="C142" s="206" t="s">
        <v>1707</v>
      </c>
      <c r="D142" s="207">
        <f>41*5.18*1.2*0.001</f>
        <v>0.254856</v>
      </c>
      <c r="E142" s="208"/>
      <c r="F142" s="208"/>
      <c r="G142" s="209"/>
      <c r="H142" s="210"/>
      <c r="I142" s="210"/>
      <c r="J142" s="211"/>
      <c r="K142" s="85"/>
      <c r="L142" s="211"/>
      <c r="M142" s="211"/>
      <c r="N142" s="212"/>
      <c r="O142" s="213"/>
      <c r="P142" s="213"/>
      <c r="Q142" s="213"/>
      <c r="R142" s="213"/>
      <c r="S142" s="213"/>
      <c r="T142" s="213"/>
    </row>
    <row r="143" spans="1:20" s="244" customFormat="1" ht="33.75" customHeight="1">
      <c r="A143" s="268" t="s">
        <v>661</v>
      </c>
      <c r="B143" s="197" t="s">
        <v>150</v>
      </c>
      <c r="C143" s="294" t="s">
        <v>151</v>
      </c>
      <c r="D143" s="295" t="s">
        <v>116</v>
      </c>
      <c r="E143" s="404">
        <v>28</v>
      </c>
      <c r="F143" s="404"/>
      <c r="G143" s="200">
        <f>E143*F143</f>
        <v>0</v>
      </c>
      <c r="H143" s="242">
        <v>2E-05</v>
      </c>
      <c r="I143" s="242">
        <f>E143*H143</f>
        <v>0.0005600000000000001</v>
      </c>
      <c r="J143" s="243">
        <v>0</v>
      </c>
      <c r="K143" s="243">
        <f>E143*J143</f>
        <v>0</v>
      </c>
      <c r="L143" s="243"/>
      <c r="M143" s="243"/>
      <c r="N143" s="405"/>
      <c r="O143" s="406"/>
      <c r="P143" s="406"/>
      <c r="Q143" s="406"/>
      <c r="R143" s="406"/>
      <c r="S143" s="406"/>
      <c r="T143" s="406"/>
    </row>
    <row r="144" spans="1:15" s="251" customFormat="1" ht="13.5" customHeight="1">
      <c r="A144" s="196"/>
      <c r="B144" s="205"/>
      <c r="C144" s="245"/>
      <c r="D144" s="246"/>
      <c r="E144" s="419"/>
      <c r="F144" s="419"/>
      <c r="G144" s="248"/>
      <c r="H144" s="249"/>
      <c r="I144" s="250"/>
      <c r="J144" s="250"/>
      <c r="K144" s="250"/>
      <c r="L144" s="250"/>
      <c r="O144" s="406"/>
    </row>
    <row r="145" spans="1:20" s="267" customFormat="1" ht="21" customHeight="1">
      <c r="A145" s="280"/>
      <c r="B145" s="275"/>
      <c r="C145" s="281" t="s">
        <v>152</v>
      </c>
      <c r="D145" s="282"/>
      <c r="E145" s="283"/>
      <c r="F145" s="283"/>
      <c r="G145" s="284"/>
      <c r="H145" s="285"/>
      <c r="I145" s="285"/>
      <c r="J145" s="264"/>
      <c r="K145" s="264"/>
      <c r="L145" s="264"/>
      <c r="M145" s="264"/>
      <c r="N145" s="265"/>
      <c r="O145" s="406"/>
      <c r="P145" s="266"/>
      <c r="Q145" s="266"/>
      <c r="R145" s="266"/>
      <c r="S145" s="266"/>
      <c r="T145" s="266"/>
    </row>
    <row r="146" spans="1:20" s="271" customFormat="1" ht="27" customHeight="1">
      <c r="A146" s="268" t="s">
        <v>662</v>
      </c>
      <c r="B146" s="674">
        <v>71311111</v>
      </c>
      <c r="C146" s="691" t="s">
        <v>1484</v>
      </c>
      <c r="D146" s="674" t="s">
        <v>46</v>
      </c>
      <c r="E146" s="669">
        <v>41</v>
      </c>
      <c r="F146" s="669"/>
      <c r="G146" s="200">
        <f>E146*F146</f>
        <v>0</v>
      </c>
      <c r="H146" s="85">
        <v>0</v>
      </c>
      <c r="I146" s="201">
        <f>E146*H146</f>
        <v>0</v>
      </c>
      <c r="J146" s="85">
        <v>0</v>
      </c>
      <c r="K146" s="85">
        <f>E146*J146</f>
        <v>0</v>
      </c>
      <c r="L146" s="85"/>
      <c r="M146" s="85"/>
      <c r="N146" s="202"/>
      <c r="O146" s="406"/>
      <c r="P146" s="203"/>
      <c r="Q146" s="203"/>
      <c r="R146" s="203"/>
      <c r="S146" s="203"/>
      <c r="T146" s="203"/>
    </row>
    <row r="147" spans="1:20" s="271" customFormat="1" ht="18" customHeight="1">
      <c r="A147" s="268" t="s">
        <v>663</v>
      </c>
      <c r="B147" s="674">
        <v>63150983</v>
      </c>
      <c r="C147" s="691" t="s">
        <v>1485</v>
      </c>
      <c r="D147" s="674" t="s">
        <v>46</v>
      </c>
      <c r="E147" s="669">
        <f>1.02*E146</f>
        <v>41.82</v>
      </c>
      <c r="F147" s="669"/>
      <c r="G147" s="200">
        <f>E147*F147</f>
        <v>0</v>
      </c>
      <c r="H147" s="85">
        <v>0.0036</v>
      </c>
      <c r="I147" s="201">
        <f>E147*H147</f>
        <v>0.150552</v>
      </c>
      <c r="J147" s="85">
        <v>0</v>
      </c>
      <c r="K147" s="85">
        <f>E147*J147</f>
        <v>0</v>
      </c>
      <c r="L147" s="85"/>
      <c r="M147" s="85"/>
      <c r="N147" s="202"/>
      <c r="O147" s="406"/>
      <c r="P147" s="203"/>
      <c r="Q147" s="203"/>
      <c r="R147" s="203"/>
      <c r="S147" s="203"/>
      <c r="T147" s="203"/>
    </row>
    <row r="148" spans="1:20" s="271" customFormat="1" ht="30" customHeight="1">
      <c r="A148" s="268" t="s">
        <v>664</v>
      </c>
      <c r="B148" s="674" t="s">
        <v>1601</v>
      </c>
      <c r="C148" s="691" t="s">
        <v>1602</v>
      </c>
      <c r="D148" s="674" t="s">
        <v>46</v>
      </c>
      <c r="E148" s="669">
        <f>SUM(D149)</f>
        <v>45.1</v>
      </c>
      <c r="F148" s="669"/>
      <c r="G148" s="200">
        <f>E148*F148</f>
        <v>0</v>
      </c>
      <c r="H148" s="85">
        <v>0</v>
      </c>
      <c r="I148" s="201">
        <f>E148*H148</f>
        <v>0</v>
      </c>
      <c r="J148" s="85">
        <v>0</v>
      </c>
      <c r="K148" s="85">
        <f>E148*J148</f>
        <v>0</v>
      </c>
      <c r="L148" s="85"/>
      <c r="M148" s="85"/>
      <c r="N148" s="202"/>
      <c r="O148" s="203"/>
      <c r="P148" s="203"/>
      <c r="Q148" s="203"/>
      <c r="R148" s="203"/>
      <c r="S148" s="203"/>
      <c r="T148" s="203"/>
    </row>
    <row r="149" spans="1:20" s="596" customFormat="1" ht="18" customHeight="1">
      <c r="A149" s="720"/>
      <c r="B149" s="757"/>
      <c r="C149" s="758" t="s">
        <v>1708</v>
      </c>
      <c r="D149" s="759">
        <f>41*1.1</f>
        <v>45.1</v>
      </c>
      <c r="E149" s="760"/>
      <c r="F149" s="760"/>
      <c r="G149" s="761"/>
      <c r="H149" s="592"/>
      <c r="I149" s="592"/>
      <c r="J149" s="593"/>
      <c r="K149" s="593"/>
      <c r="L149" s="593"/>
      <c r="M149" s="593"/>
      <c r="N149" s="594"/>
      <c r="O149" s="595"/>
      <c r="P149" s="595"/>
      <c r="Q149" s="595"/>
      <c r="R149" s="595"/>
      <c r="S149" s="595"/>
      <c r="T149" s="595"/>
    </row>
    <row r="150" spans="1:20" s="271" customFormat="1" ht="18" customHeight="1">
      <c r="A150" s="268" t="s">
        <v>665</v>
      </c>
      <c r="B150" s="674">
        <v>28329012</v>
      </c>
      <c r="C150" s="691" t="s">
        <v>1487</v>
      </c>
      <c r="D150" s="674" t="s">
        <v>46</v>
      </c>
      <c r="E150" s="669">
        <f>SUM(D151)</f>
        <v>47.199999999999996</v>
      </c>
      <c r="F150" s="669"/>
      <c r="G150" s="200">
        <f>E150*F150</f>
        <v>0</v>
      </c>
      <c r="H150" s="85">
        <v>0.00014</v>
      </c>
      <c r="I150" s="201">
        <f>E150*H150</f>
        <v>0.006607999999999998</v>
      </c>
      <c r="J150" s="85">
        <v>0</v>
      </c>
      <c r="K150" s="85">
        <f>E150*J150</f>
        <v>0</v>
      </c>
      <c r="L150" s="85"/>
      <c r="M150" s="85"/>
      <c r="N150" s="202"/>
      <c r="O150" s="203"/>
      <c r="P150" s="203"/>
      <c r="Q150" s="203"/>
      <c r="R150" s="203"/>
      <c r="S150" s="203"/>
      <c r="T150" s="203"/>
    </row>
    <row r="151" spans="1:20" s="596" customFormat="1" ht="18" customHeight="1">
      <c r="A151" s="720"/>
      <c r="B151" s="721"/>
      <c r="C151" s="206" t="s">
        <v>1709</v>
      </c>
      <c r="D151" s="685">
        <f>41*1.15+0.05</f>
        <v>47.199999999999996</v>
      </c>
      <c r="E151" s="679"/>
      <c r="F151" s="679"/>
      <c r="G151" s="680"/>
      <c r="H151" s="592"/>
      <c r="I151" s="592"/>
      <c r="J151" s="593"/>
      <c r="K151" s="593"/>
      <c r="L151" s="593"/>
      <c r="M151" s="593"/>
      <c r="N151" s="594"/>
      <c r="O151" s="595"/>
      <c r="P151" s="595"/>
      <c r="Q151" s="595"/>
      <c r="R151" s="595"/>
      <c r="S151" s="595"/>
      <c r="T151" s="595"/>
    </row>
    <row r="152" spans="1:20" s="271" customFormat="1" ht="12.75">
      <c r="A152" s="690"/>
      <c r="B152" s="674"/>
      <c r="C152" s="691"/>
      <c r="D152" s="674"/>
      <c r="E152" s="669"/>
      <c r="F152" s="669"/>
      <c r="G152" s="692"/>
      <c r="H152" s="85"/>
      <c r="I152" s="85"/>
      <c r="J152" s="85"/>
      <c r="K152" s="85"/>
      <c r="L152" s="85"/>
      <c r="M152" s="85"/>
      <c r="N152" s="202"/>
      <c r="O152" s="203"/>
      <c r="P152" s="203"/>
      <c r="Q152" s="203"/>
      <c r="R152" s="203"/>
      <c r="S152" s="203"/>
      <c r="T152" s="203"/>
    </row>
    <row r="153" spans="1:20" s="596" customFormat="1" ht="18" customHeight="1">
      <c r="A153" s="720"/>
      <c r="B153" s="757"/>
      <c r="C153" s="762" t="s">
        <v>1600</v>
      </c>
      <c r="D153" s="759"/>
      <c r="E153" s="760"/>
      <c r="F153" s="760"/>
      <c r="G153" s="761"/>
      <c r="H153" s="592"/>
      <c r="I153" s="592"/>
      <c r="J153" s="593"/>
      <c r="K153" s="593"/>
      <c r="L153" s="593"/>
      <c r="M153" s="593"/>
      <c r="N153" s="594"/>
      <c r="O153" s="595"/>
      <c r="P153" s="595"/>
      <c r="Q153" s="595"/>
      <c r="R153" s="595"/>
      <c r="S153" s="595"/>
      <c r="T153" s="595"/>
    </row>
    <row r="154" spans="1:20" s="271" customFormat="1" ht="22">
      <c r="A154" s="268" t="s">
        <v>666</v>
      </c>
      <c r="B154" s="763" t="s">
        <v>1599</v>
      </c>
      <c r="C154" s="764" t="s">
        <v>1806</v>
      </c>
      <c r="D154" s="763" t="s">
        <v>46</v>
      </c>
      <c r="E154" s="739">
        <v>19.8</v>
      </c>
      <c r="F154" s="739"/>
      <c r="G154" s="200">
        <f>E154*F154</f>
        <v>0</v>
      </c>
      <c r="H154" s="85">
        <v>0.0122</v>
      </c>
      <c r="I154" s="201">
        <f>E154*H154</f>
        <v>0.24156000000000002</v>
      </c>
      <c r="J154" s="85">
        <v>0</v>
      </c>
      <c r="K154" s="85">
        <f>E154*J154</f>
        <v>0</v>
      </c>
      <c r="L154" s="85"/>
      <c r="M154" s="85"/>
      <c r="N154" s="202"/>
      <c r="O154" s="203"/>
      <c r="P154" s="203"/>
      <c r="Q154" s="203"/>
      <c r="R154" s="203"/>
      <c r="S154" s="203"/>
      <c r="T154" s="203"/>
    </row>
    <row r="155" spans="1:20" s="271" customFormat="1" ht="31.5" customHeight="1">
      <c r="A155" s="268" t="s">
        <v>667</v>
      </c>
      <c r="B155" s="674" t="s">
        <v>1598</v>
      </c>
      <c r="C155" s="691" t="s">
        <v>1807</v>
      </c>
      <c r="D155" s="674" t="s">
        <v>46</v>
      </c>
      <c r="E155" s="669">
        <v>23.4</v>
      </c>
      <c r="F155" s="669"/>
      <c r="G155" s="200">
        <f>E155*F155</f>
        <v>0</v>
      </c>
      <c r="H155" s="85">
        <v>0.015</v>
      </c>
      <c r="I155" s="201">
        <f>E155*H155</f>
        <v>0.351</v>
      </c>
      <c r="J155" s="85">
        <v>0</v>
      </c>
      <c r="K155" s="85">
        <f>E155*J155</f>
        <v>0</v>
      </c>
      <c r="L155" s="85"/>
      <c r="M155" s="85"/>
      <c r="N155" s="202"/>
      <c r="O155" s="203"/>
      <c r="P155" s="203"/>
      <c r="Q155" s="203"/>
      <c r="R155" s="203"/>
      <c r="S155" s="203"/>
      <c r="T155" s="203"/>
    </row>
    <row r="156" spans="1:12" s="251" customFormat="1" ht="15" customHeight="1">
      <c r="A156" s="196"/>
      <c r="B156" s="205"/>
      <c r="C156" s="764"/>
      <c r="D156" s="246"/>
      <c r="E156" s="419"/>
      <c r="F156" s="419"/>
      <c r="G156" s="248"/>
      <c r="H156" s="249"/>
      <c r="I156" s="250"/>
      <c r="J156" s="250"/>
      <c r="K156" s="250"/>
      <c r="L156" s="250"/>
    </row>
    <row r="157" spans="1:20" s="732" customFormat="1" ht="18.75" customHeight="1">
      <c r="A157" s="272"/>
      <c r="B157" s="462" t="s">
        <v>1611</v>
      </c>
      <c r="C157" s="583" t="s">
        <v>1825</v>
      </c>
      <c r="D157" s="269"/>
      <c r="E157" s="740"/>
      <c r="F157" s="740"/>
      <c r="G157" s="741"/>
      <c r="H157" s="411"/>
      <c r="I157" s="411"/>
      <c r="J157" s="411"/>
      <c r="K157" s="411"/>
      <c r="L157" s="411"/>
      <c r="M157" s="411"/>
      <c r="N157" s="730"/>
      <c r="O157" s="731"/>
      <c r="P157" s="731"/>
      <c r="Q157" s="731"/>
      <c r="R157" s="731"/>
      <c r="S157" s="731"/>
      <c r="T157" s="731"/>
    </row>
    <row r="158" spans="1:20" s="271" customFormat="1" ht="20.25" customHeight="1">
      <c r="A158" s="268" t="s">
        <v>668</v>
      </c>
      <c r="B158" s="674">
        <v>612181001</v>
      </c>
      <c r="C158" s="691" t="s">
        <v>262</v>
      </c>
      <c r="D158" s="674" t="s">
        <v>46</v>
      </c>
      <c r="E158" s="669">
        <f>SUM(D159)</f>
        <v>32.099999999999994</v>
      </c>
      <c r="F158" s="669"/>
      <c r="G158" s="200">
        <f>E158*F158</f>
        <v>0</v>
      </c>
      <c r="H158" s="85">
        <v>0.00391</v>
      </c>
      <c r="I158" s="201">
        <f>E158*H158</f>
        <v>0.12551099999999998</v>
      </c>
      <c r="J158" s="85">
        <v>0</v>
      </c>
      <c r="K158" s="85">
        <f>E158*J158</f>
        <v>0</v>
      </c>
      <c r="L158" s="85"/>
      <c r="M158" s="85"/>
      <c r="N158" s="202"/>
      <c r="O158" s="203"/>
      <c r="P158" s="203"/>
      <c r="Q158" s="203"/>
      <c r="R158" s="203"/>
      <c r="S158" s="203"/>
      <c r="T158" s="203"/>
    </row>
    <row r="159" spans="1:20" s="596" customFormat="1" ht="19.5" customHeight="1">
      <c r="A159" s="683"/>
      <c r="B159" s="681"/>
      <c r="C159" s="678" t="s">
        <v>1717</v>
      </c>
      <c r="D159" s="685">
        <f>(4.3+3+14.1)*1.5</f>
        <v>32.099999999999994</v>
      </c>
      <c r="E159" s="679"/>
      <c r="F159" s="679"/>
      <c r="G159" s="680"/>
      <c r="H159" s="592"/>
      <c r="I159" s="592"/>
      <c r="J159" s="593"/>
      <c r="K159" s="593"/>
      <c r="L159" s="593"/>
      <c r="M159" s="593"/>
      <c r="N159" s="594"/>
      <c r="O159" s="595"/>
      <c r="P159" s="595"/>
      <c r="Q159" s="595"/>
      <c r="R159" s="595"/>
      <c r="S159" s="595"/>
      <c r="T159" s="595"/>
    </row>
    <row r="160" spans="1:20" s="204" customFormat="1" ht="24" customHeight="1">
      <c r="A160" s="268" t="s">
        <v>669</v>
      </c>
      <c r="B160" s="197" t="s">
        <v>1411</v>
      </c>
      <c r="C160" s="136" t="s">
        <v>1617</v>
      </c>
      <c r="D160" s="198" t="s">
        <v>46</v>
      </c>
      <c r="E160" s="199">
        <f>E158</f>
        <v>32.099999999999994</v>
      </c>
      <c r="F160" s="199"/>
      <c r="G160" s="200">
        <f>E160*F160</f>
        <v>0</v>
      </c>
      <c r="H160" s="201">
        <v>0</v>
      </c>
      <c r="I160" s="201">
        <f>E160*H160</f>
        <v>0</v>
      </c>
      <c r="J160" s="85">
        <v>0</v>
      </c>
      <c r="K160" s="85">
        <f>E160*J160</f>
        <v>0</v>
      </c>
      <c r="L160" s="85"/>
      <c r="M160" s="85"/>
      <c r="N160" s="202"/>
      <c r="O160" s="203"/>
      <c r="P160" s="203"/>
      <c r="Q160" s="203"/>
      <c r="R160" s="203"/>
      <c r="S160" s="203"/>
      <c r="T160" s="203"/>
    </row>
    <row r="161" spans="1:20" s="204" customFormat="1" ht="21" customHeight="1">
      <c r="A161" s="268" t="s">
        <v>670</v>
      </c>
      <c r="B161" s="197" t="s">
        <v>1419</v>
      </c>
      <c r="C161" s="136" t="s">
        <v>1420</v>
      </c>
      <c r="D161" s="198" t="s">
        <v>181</v>
      </c>
      <c r="E161" s="199">
        <f>E160*0.127</f>
        <v>4.0767</v>
      </c>
      <c r="F161" s="199"/>
      <c r="G161" s="200">
        <f>E161*F161</f>
        <v>0</v>
      </c>
      <c r="H161" s="201">
        <v>0</v>
      </c>
      <c r="I161" s="201">
        <f>E161*H161</f>
        <v>0</v>
      </c>
      <c r="J161" s="85">
        <v>0</v>
      </c>
      <c r="K161" s="85">
        <f>E161*J161</f>
        <v>0</v>
      </c>
      <c r="L161" s="85"/>
      <c r="M161" s="85"/>
      <c r="N161" s="202"/>
      <c r="O161" s="203"/>
      <c r="P161" s="203"/>
      <c r="Q161" s="203"/>
      <c r="R161" s="203"/>
      <c r="S161" s="203"/>
      <c r="T161" s="203"/>
    </row>
    <row r="162" spans="1:20" s="204" customFormat="1" ht="21" customHeight="1">
      <c r="A162" s="268" t="s">
        <v>671</v>
      </c>
      <c r="B162" s="197" t="s">
        <v>1614</v>
      </c>
      <c r="C162" s="136" t="s">
        <v>1613</v>
      </c>
      <c r="D162" s="198" t="s">
        <v>46</v>
      </c>
      <c r="E162" s="199">
        <f>E158</f>
        <v>32.099999999999994</v>
      </c>
      <c r="F162" s="199"/>
      <c r="G162" s="200">
        <f>E162*F162</f>
        <v>0</v>
      </c>
      <c r="H162" s="201"/>
      <c r="I162" s="201"/>
      <c r="J162" s="85"/>
      <c r="K162" s="85"/>
      <c r="L162" s="85"/>
      <c r="M162" s="85"/>
      <c r="N162" s="202"/>
      <c r="O162" s="203"/>
      <c r="P162" s="203"/>
      <c r="Q162" s="203"/>
      <c r="R162" s="203"/>
      <c r="S162" s="203"/>
      <c r="T162" s="203"/>
    </row>
    <row r="163" spans="1:20" s="204" customFormat="1" ht="21" customHeight="1">
      <c r="A163" s="268" t="s">
        <v>1730</v>
      </c>
      <c r="B163" s="197" t="s">
        <v>1615</v>
      </c>
      <c r="C163" s="136" t="s">
        <v>1612</v>
      </c>
      <c r="D163" s="198" t="s">
        <v>309</v>
      </c>
      <c r="E163" s="199">
        <f>SUM(D164)</f>
        <v>22.5</v>
      </c>
      <c r="F163" s="199"/>
      <c r="G163" s="200">
        <f>E163*F163</f>
        <v>0</v>
      </c>
      <c r="H163" s="201">
        <f>0.5/833</f>
        <v>0.0006002400960384153</v>
      </c>
      <c r="I163" s="201">
        <f>E163*H163</f>
        <v>0.013505402160864344</v>
      </c>
      <c r="J163" s="85">
        <v>0</v>
      </c>
      <c r="K163" s="85">
        <f>E163*J163</f>
        <v>0</v>
      </c>
      <c r="L163" s="85"/>
      <c r="M163" s="85"/>
      <c r="N163" s="202"/>
      <c r="O163" s="203"/>
      <c r="P163" s="203"/>
      <c r="Q163" s="203"/>
      <c r="R163" s="203"/>
      <c r="S163" s="203"/>
      <c r="T163" s="203"/>
    </row>
    <row r="164" spans="1:20" s="596" customFormat="1" ht="19.5" customHeight="1">
      <c r="A164" s="683"/>
      <c r="B164" s="681"/>
      <c r="C164" s="678" t="s">
        <v>1718</v>
      </c>
      <c r="D164" s="685">
        <f>(4.3+3+14.1)*1.05+0.03</f>
        <v>22.5</v>
      </c>
      <c r="E164" s="679"/>
      <c r="F164" s="679"/>
      <c r="G164" s="680"/>
      <c r="H164" s="592"/>
      <c r="I164" s="592"/>
      <c r="J164" s="593"/>
      <c r="K164" s="593"/>
      <c r="L164" s="593"/>
      <c r="M164" s="593"/>
      <c r="N164" s="594"/>
      <c r="O164" s="595"/>
      <c r="P164" s="595"/>
      <c r="Q164" s="595"/>
      <c r="R164" s="595"/>
      <c r="S164" s="595"/>
      <c r="T164" s="595"/>
    </row>
    <row r="165" spans="1:7" ht="14" thickBot="1">
      <c r="A165" s="218"/>
      <c r="B165" s="412"/>
      <c r="C165" s="220"/>
      <c r="D165" s="221"/>
      <c r="E165" s="413"/>
      <c r="F165" s="414"/>
      <c r="G165" s="415"/>
    </row>
    <row r="166" spans="1:7" ht="13" thickBot="1">
      <c r="A166" s="225"/>
      <c r="B166" s="226"/>
      <c r="C166" s="227" t="s">
        <v>113</v>
      </c>
      <c r="D166" s="226"/>
      <c r="E166" s="416"/>
      <c r="F166" s="417"/>
      <c r="G166" s="230">
        <f>SUBTOTAL(9,G99:G165)</f>
        <v>0</v>
      </c>
    </row>
    <row r="167" spans="1:7" ht="13" thickBot="1">
      <c r="A167" s="179"/>
      <c r="B167" s="180"/>
      <c r="C167" s="180"/>
      <c r="D167" s="180"/>
      <c r="E167" s="180"/>
      <c r="F167" s="180"/>
      <c r="G167" s="396"/>
    </row>
    <row r="168" spans="1:7" ht="13" thickBot="1">
      <c r="A168" s="182" t="s">
        <v>166</v>
      </c>
      <c r="B168" s="183" t="s">
        <v>264</v>
      </c>
      <c r="C168" s="184" t="s">
        <v>154</v>
      </c>
      <c r="D168" s="397"/>
      <c r="E168" s="398"/>
      <c r="F168" s="187"/>
      <c r="G168" s="399"/>
    </row>
    <row r="169" spans="1:7" ht="12.75">
      <c r="A169" s="189"/>
      <c r="B169" s="400"/>
      <c r="C169" s="232"/>
      <c r="D169" s="233"/>
      <c r="E169" s="401"/>
      <c r="F169" s="402"/>
      <c r="G169" s="403"/>
    </row>
    <row r="170" spans="1:20" s="277" customFormat="1" ht="18.75" customHeight="1">
      <c r="A170" s="288"/>
      <c r="B170" s="289"/>
      <c r="C170" s="276" t="s">
        <v>155</v>
      </c>
      <c r="D170" s="429"/>
      <c r="E170" s="430"/>
      <c r="F170" s="430"/>
      <c r="G170" s="284"/>
      <c r="H170" s="431"/>
      <c r="I170" s="431"/>
      <c r="J170" s="420"/>
      <c r="K170" s="420"/>
      <c r="L170" s="420"/>
      <c r="M170" s="420"/>
      <c r="N170" s="421"/>
      <c r="O170" s="422"/>
      <c r="P170" s="422"/>
      <c r="Q170" s="422"/>
      <c r="R170" s="422"/>
      <c r="S170" s="422"/>
      <c r="T170" s="422"/>
    </row>
    <row r="171" spans="1:12" s="251" customFormat="1" ht="8.25" customHeight="1">
      <c r="A171" s="432"/>
      <c r="B171" s="425"/>
      <c r="C171" s="245"/>
      <c r="D171" s="246"/>
      <c r="E171" s="419"/>
      <c r="F171" s="419"/>
      <c r="G171" s="248"/>
      <c r="H171" s="249"/>
      <c r="I171" s="250"/>
      <c r="J171" s="250"/>
      <c r="K171" s="250"/>
      <c r="L171" s="250"/>
    </row>
    <row r="172" spans="1:12" s="244" customFormat="1" ht="30" customHeight="1">
      <c r="A172" s="196" t="s">
        <v>168</v>
      </c>
      <c r="B172" s="197" t="s">
        <v>1721</v>
      </c>
      <c r="C172" s="294" t="s">
        <v>1719</v>
      </c>
      <c r="D172" s="295" t="s">
        <v>158</v>
      </c>
      <c r="E172" s="239">
        <v>1</v>
      </c>
      <c r="F172" s="296"/>
      <c r="G172" s="240">
        <f>$E172*F172</f>
        <v>0</v>
      </c>
      <c r="J172" s="242"/>
      <c r="K172" s="241"/>
      <c r="L172" s="241"/>
    </row>
    <row r="173" spans="1:12" s="437" customFormat="1" ht="123" customHeight="1">
      <c r="A173" s="196" t="s">
        <v>268</v>
      </c>
      <c r="B173" s="433" t="s">
        <v>265</v>
      </c>
      <c r="C173" s="434" t="s">
        <v>2355</v>
      </c>
      <c r="D173" s="295" t="s">
        <v>158</v>
      </c>
      <c r="E173" s="239">
        <v>1</v>
      </c>
      <c r="F173" s="404"/>
      <c r="G173" s="240">
        <f>$E173*F173</f>
        <v>0</v>
      </c>
      <c r="H173" s="435"/>
      <c r="I173" s="436"/>
      <c r="J173" s="436"/>
      <c r="K173" s="436"/>
      <c r="L173" s="436"/>
    </row>
    <row r="174" spans="1:12" s="437" customFormat="1" ht="132" customHeight="1">
      <c r="A174" s="196" t="s">
        <v>269</v>
      </c>
      <c r="B174" s="433" t="s">
        <v>266</v>
      </c>
      <c r="C174" s="434" t="s">
        <v>2356</v>
      </c>
      <c r="D174" s="295" t="s">
        <v>158</v>
      </c>
      <c r="E174" s="239">
        <v>1</v>
      </c>
      <c r="F174" s="404"/>
      <c r="G174" s="240">
        <f>$E174*F174</f>
        <v>0</v>
      </c>
      <c r="H174" s="435"/>
      <c r="I174" s="436"/>
      <c r="J174" s="436"/>
      <c r="K174" s="436"/>
      <c r="L174" s="436"/>
    </row>
    <row r="175" spans="1:12" s="244" customFormat="1" ht="24.75" customHeight="1">
      <c r="A175" s="751" t="s">
        <v>329</v>
      </c>
      <c r="B175" s="197" t="s">
        <v>321</v>
      </c>
      <c r="C175" s="294" t="s">
        <v>2420</v>
      </c>
      <c r="D175" s="295" t="s">
        <v>158</v>
      </c>
      <c r="E175" s="239">
        <v>1</v>
      </c>
      <c r="F175" s="296"/>
      <c r="G175" s="240">
        <f aca="true" t="shared" si="3" ref="G175">$E175*F175</f>
        <v>0</v>
      </c>
      <c r="H175" s="242"/>
      <c r="I175" s="241"/>
      <c r="L175" s="241"/>
    </row>
    <row r="176" spans="1:7" ht="14" thickBot="1">
      <c r="A176" s="218"/>
      <c r="B176" s="412"/>
      <c r="C176" s="220"/>
      <c r="D176" s="221"/>
      <c r="E176" s="413"/>
      <c r="F176" s="414"/>
      <c r="G176" s="415"/>
    </row>
    <row r="177" spans="1:7" ht="17.25" customHeight="1" thickBot="1">
      <c r="A177" s="225"/>
      <c r="B177" s="226"/>
      <c r="C177" s="227" t="s">
        <v>113</v>
      </c>
      <c r="D177" s="226"/>
      <c r="E177" s="416"/>
      <c r="F177" s="417"/>
      <c r="G177" s="230">
        <f>SUBTOTAL(9,G169:G176)</f>
        <v>0</v>
      </c>
    </row>
    <row r="178" spans="1:7" ht="13" thickBot="1">
      <c r="A178" s="179"/>
      <c r="B178" s="180"/>
      <c r="C178" s="180"/>
      <c r="D178" s="180"/>
      <c r="E178" s="180"/>
      <c r="F178" s="180"/>
      <c r="G178" s="396"/>
    </row>
    <row r="179" spans="1:20" s="80" customFormat="1" ht="13" thickBot="1">
      <c r="A179" s="182" t="s">
        <v>170</v>
      </c>
      <c r="B179" s="183"/>
      <c r="C179" s="184" t="s">
        <v>167</v>
      </c>
      <c r="D179" s="185"/>
      <c r="E179" s="186"/>
      <c r="F179" s="187"/>
      <c r="G179" s="188"/>
      <c r="H179" s="77"/>
      <c r="I179" s="77"/>
      <c r="J179" s="77"/>
      <c r="K179" s="77"/>
      <c r="L179" s="77"/>
      <c r="M179" s="77"/>
      <c r="N179" s="78"/>
      <c r="O179" s="79"/>
      <c r="P179" s="79"/>
      <c r="Q179" s="79"/>
      <c r="R179" s="79"/>
      <c r="S179" s="79"/>
      <c r="T179" s="79"/>
    </row>
    <row r="180" spans="1:20" s="80" customFormat="1" ht="12.75">
      <c r="A180" s="189"/>
      <c r="B180" s="231"/>
      <c r="C180" s="232"/>
      <c r="D180" s="233"/>
      <c r="E180" s="234"/>
      <c r="F180" s="235"/>
      <c r="G180" s="236"/>
      <c r="H180" s="77"/>
      <c r="I180" s="77"/>
      <c r="J180" s="77"/>
      <c r="K180" s="77"/>
      <c r="L180" s="77"/>
      <c r="M180" s="77"/>
      <c r="N180" s="78"/>
      <c r="O180" s="79"/>
      <c r="P180" s="79"/>
      <c r="Q180" s="79"/>
      <c r="R180" s="79"/>
      <c r="S180" s="79"/>
      <c r="T180" s="79"/>
    </row>
    <row r="181" spans="1:20" s="271" customFormat="1" ht="19.5" customHeight="1">
      <c r="A181" s="268" t="s">
        <v>171</v>
      </c>
      <c r="B181" s="674" t="s">
        <v>169</v>
      </c>
      <c r="C181" s="691" t="s">
        <v>1114</v>
      </c>
      <c r="D181" s="674" t="s">
        <v>73</v>
      </c>
      <c r="E181" s="669">
        <f>I181</f>
        <v>13.641424473280866</v>
      </c>
      <c r="F181" s="669"/>
      <c r="G181" s="200">
        <f>E181*F181</f>
        <v>0</v>
      </c>
      <c r="H181" s="85"/>
      <c r="I181" s="722">
        <f>SUM(I75:I164)</f>
        <v>13.641424473280866</v>
      </c>
      <c r="J181" s="85"/>
      <c r="K181" s="85"/>
      <c r="L181" s="85"/>
      <c r="M181" s="85"/>
      <c r="N181" s="202"/>
      <c r="O181" s="203"/>
      <c r="P181" s="203"/>
      <c r="Q181" s="203"/>
      <c r="R181" s="203"/>
      <c r="S181" s="203"/>
      <c r="T181" s="203"/>
    </row>
    <row r="182" spans="1:20" s="80" customFormat="1" ht="14" thickBot="1">
      <c r="A182" s="218"/>
      <c r="B182" s="219"/>
      <c r="C182" s="220"/>
      <c r="D182" s="221"/>
      <c r="E182" s="222"/>
      <c r="F182" s="223"/>
      <c r="G182" s="224"/>
      <c r="H182" s="77"/>
      <c r="I182" s="77"/>
      <c r="J182" s="77"/>
      <c r="K182" s="77"/>
      <c r="L182" s="77"/>
      <c r="M182" s="77"/>
      <c r="N182" s="78"/>
      <c r="O182" s="79"/>
      <c r="P182" s="79"/>
      <c r="Q182" s="79"/>
      <c r="R182" s="79"/>
      <c r="S182" s="79"/>
      <c r="T182" s="79"/>
    </row>
    <row r="183" spans="1:20" s="80" customFormat="1" ht="13" thickBot="1">
      <c r="A183" s="225"/>
      <c r="B183" s="226"/>
      <c r="C183" s="227" t="s">
        <v>113</v>
      </c>
      <c r="D183" s="226"/>
      <c r="E183" s="228"/>
      <c r="F183" s="229"/>
      <c r="G183" s="230">
        <f>SUBTOTAL(9,G180:G182)</f>
        <v>0</v>
      </c>
      <c r="H183" s="77"/>
      <c r="I183" s="77"/>
      <c r="J183" s="77"/>
      <c r="K183" s="77"/>
      <c r="L183" s="77"/>
      <c r="M183" s="77"/>
      <c r="N183" s="78"/>
      <c r="O183" s="79"/>
      <c r="P183" s="79"/>
      <c r="Q183" s="79"/>
      <c r="R183" s="79"/>
      <c r="S183" s="79"/>
      <c r="T183" s="79"/>
    </row>
    <row r="184" spans="1:20" s="80" customFormat="1" ht="13" thickBot="1">
      <c r="A184" s="179"/>
      <c r="B184" s="180"/>
      <c r="C184" s="180"/>
      <c r="D184" s="180"/>
      <c r="E184" s="180"/>
      <c r="F184" s="180"/>
      <c r="G184" s="181"/>
      <c r="H184" s="77"/>
      <c r="I184" s="77"/>
      <c r="J184" s="77"/>
      <c r="K184" s="77"/>
      <c r="L184" s="77"/>
      <c r="M184" s="77"/>
      <c r="N184" s="78"/>
      <c r="O184" s="79"/>
      <c r="P184" s="79"/>
      <c r="Q184" s="79"/>
      <c r="R184" s="79"/>
      <c r="S184" s="79"/>
      <c r="T184" s="79"/>
    </row>
    <row r="185" spans="1:7" ht="13" thickBot="1">
      <c r="A185" s="182" t="s">
        <v>183</v>
      </c>
      <c r="B185" s="183" t="s">
        <v>270</v>
      </c>
      <c r="C185" s="184" t="s">
        <v>271</v>
      </c>
      <c r="D185" s="397"/>
      <c r="E185" s="398"/>
      <c r="F185" s="187"/>
      <c r="G185" s="399"/>
    </row>
    <row r="186" spans="1:7" ht="12.75">
      <c r="A186" s="189"/>
      <c r="B186" s="400"/>
      <c r="C186" s="232"/>
      <c r="D186" s="233"/>
      <c r="E186" s="401"/>
      <c r="F186" s="402"/>
      <c r="G186" s="403"/>
    </row>
    <row r="187" spans="1:12" s="244" customFormat="1" ht="18" customHeight="1">
      <c r="A187" s="196" t="s">
        <v>185</v>
      </c>
      <c r="B187" s="305">
        <v>771121011</v>
      </c>
      <c r="C187" s="306" t="s">
        <v>272</v>
      </c>
      <c r="D187" s="305" t="s">
        <v>46</v>
      </c>
      <c r="E187" s="239">
        <v>41</v>
      </c>
      <c r="F187" s="439"/>
      <c r="G187" s="240">
        <f>$E187*F187</f>
        <v>0</v>
      </c>
      <c r="H187" s="241">
        <v>0.0003</v>
      </c>
      <c r="I187" s="241">
        <f>E187*H187</f>
        <v>0.012299999999999998</v>
      </c>
      <c r="J187" s="243">
        <v>0</v>
      </c>
      <c r="K187" s="243">
        <f>E187*J187</f>
        <v>0</v>
      </c>
      <c r="L187" s="241"/>
    </row>
    <row r="188" spans="1:12" s="251" customFormat="1" ht="15" customHeight="1">
      <c r="A188" s="432"/>
      <c r="B188" s="205"/>
      <c r="C188" s="245"/>
      <c r="D188" s="246"/>
      <c r="E188" s="247"/>
      <c r="F188" s="247"/>
      <c r="G188" s="248"/>
      <c r="H188" s="249"/>
      <c r="I188" s="250"/>
      <c r="J188" s="250"/>
      <c r="K188" s="250"/>
      <c r="L188" s="250"/>
    </row>
    <row r="189" spans="1:12" s="244" customFormat="1" ht="48" customHeight="1">
      <c r="A189" s="196" t="s">
        <v>187</v>
      </c>
      <c r="B189" s="197" t="s">
        <v>1626</v>
      </c>
      <c r="C189" s="294" t="s">
        <v>1625</v>
      </c>
      <c r="D189" s="295" t="s">
        <v>46</v>
      </c>
      <c r="E189" s="297">
        <v>41</v>
      </c>
      <c r="F189" s="296"/>
      <c r="G189" s="240">
        <f>$E189*F189</f>
        <v>0</v>
      </c>
      <c r="H189" s="241">
        <v>0.01761</v>
      </c>
      <c r="I189" s="241">
        <f>E189*H189</f>
        <v>0.72201</v>
      </c>
      <c r="J189" s="241">
        <v>0</v>
      </c>
      <c r="K189" s="241">
        <f>E189*J189</f>
        <v>0</v>
      </c>
      <c r="L189" s="241"/>
    </row>
    <row r="190" spans="1:12" s="244" customFormat="1" ht="22.5" customHeight="1">
      <c r="A190" s="196" t="s">
        <v>189</v>
      </c>
      <c r="B190" s="945" t="s">
        <v>2413</v>
      </c>
      <c r="C190" s="992" t="s">
        <v>2414</v>
      </c>
      <c r="D190" s="993" t="s">
        <v>116</v>
      </c>
      <c r="E190" s="871">
        <v>24.1</v>
      </c>
      <c r="F190" s="994"/>
      <c r="G190" s="240">
        <f aca="true" t="shared" si="4" ref="G190:G191">$E190*F190</f>
        <v>0</v>
      </c>
      <c r="H190" s="241">
        <v>0</v>
      </c>
      <c r="I190" s="241">
        <f aca="true" t="shared" si="5" ref="I190:I191">E190*H190</f>
        <v>0</v>
      </c>
      <c r="J190" s="241">
        <v>0</v>
      </c>
      <c r="K190" s="241">
        <f aca="true" t="shared" si="6" ref="K190:K191">E190*J190</f>
        <v>0</v>
      </c>
      <c r="L190" s="241"/>
    </row>
    <row r="191" spans="1:12" s="244" customFormat="1" ht="22.5" customHeight="1">
      <c r="A191" s="196" t="s">
        <v>282</v>
      </c>
      <c r="B191" s="945" t="s">
        <v>2415</v>
      </c>
      <c r="C191" s="992" t="s">
        <v>2416</v>
      </c>
      <c r="D191" s="993" t="s">
        <v>116</v>
      </c>
      <c r="E191" s="871">
        <f>E190*1.08-0.03</f>
        <v>25.998</v>
      </c>
      <c r="F191" s="994"/>
      <c r="G191" s="240">
        <f t="shared" si="4"/>
        <v>0</v>
      </c>
      <c r="H191" s="241">
        <v>0.000216</v>
      </c>
      <c r="I191" s="241">
        <f t="shared" si="5"/>
        <v>0.005615568</v>
      </c>
      <c r="J191" s="241">
        <v>0</v>
      </c>
      <c r="K191" s="241">
        <f t="shared" si="6"/>
        <v>0</v>
      </c>
      <c r="L191" s="241"/>
    </row>
    <row r="192" spans="1:12" s="244" customFormat="1" ht="15" customHeight="1">
      <c r="A192" s="750"/>
      <c r="B192" s="945"/>
      <c r="C192" s="992"/>
      <c r="D192" s="993"/>
      <c r="E192" s="871"/>
      <c r="F192" s="994"/>
      <c r="G192" s="780"/>
      <c r="H192" s="241"/>
      <c r="I192" s="241"/>
      <c r="J192" s="241"/>
      <c r="K192" s="241"/>
      <c r="L192" s="241"/>
    </row>
    <row r="193" spans="1:20" s="204" customFormat="1" ht="23.25" customHeight="1">
      <c r="A193" s="196" t="s">
        <v>283</v>
      </c>
      <c r="B193" s="969" t="s">
        <v>2343</v>
      </c>
      <c r="C193" s="970" t="s">
        <v>2344</v>
      </c>
      <c r="D193" s="971" t="s">
        <v>116</v>
      </c>
      <c r="E193" s="972">
        <v>3.6</v>
      </c>
      <c r="F193" s="972"/>
      <c r="G193" s="200">
        <f aca="true" t="shared" si="7" ref="G193:G194">E193*F193</f>
        <v>0</v>
      </c>
      <c r="H193" s="201"/>
      <c r="I193" s="201"/>
      <c r="J193" s="85"/>
      <c r="K193" s="85"/>
      <c r="L193" s="85"/>
      <c r="M193" s="85"/>
      <c r="N193" s="202"/>
      <c r="O193" s="203"/>
      <c r="P193" s="203"/>
      <c r="Q193" s="203"/>
      <c r="R193" s="203"/>
      <c r="S193" s="203"/>
      <c r="T193" s="203"/>
    </row>
    <row r="194" spans="1:20" s="204" customFormat="1" ht="23.25" customHeight="1">
      <c r="A194" s="196" t="s">
        <v>284</v>
      </c>
      <c r="B194" s="969" t="s">
        <v>2345</v>
      </c>
      <c r="C194" s="970" t="s">
        <v>2346</v>
      </c>
      <c r="D194" s="971" t="s">
        <v>116</v>
      </c>
      <c r="E194" s="972">
        <f>E193*1.08+0.01</f>
        <v>3.898</v>
      </c>
      <c r="F194" s="972"/>
      <c r="G194" s="200">
        <f t="shared" si="7"/>
        <v>0</v>
      </c>
      <c r="H194" s="201"/>
      <c r="I194" s="201"/>
      <c r="J194" s="85"/>
      <c r="K194" s="85"/>
      <c r="L194" s="85"/>
      <c r="M194" s="85"/>
      <c r="N194" s="202"/>
      <c r="O194" s="203"/>
      <c r="P194" s="203"/>
      <c r="Q194" s="203"/>
      <c r="R194" s="203"/>
      <c r="S194" s="203"/>
      <c r="T194" s="203"/>
    </row>
    <row r="195" spans="1:12" s="251" customFormat="1" ht="15" customHeight="1">
      <c r="A195" s="432"/>
      <c r="B195" s="205"/>
      <c r="C195" s="245"/>
      <c r="D195" s="246"/>
      <c r="E195" s="247"/>
      <c r="F195" s="247"/>
      <c r="G195" s="248"/>
      <c r="H195" s="249"/>
      <c r="I195" s="250"/>
      <c r="J195" s="250"/>
      <c r="K195" s="250"/>
      <c r="L195" s="250"/>
    </row>
    <row r="196" spans="1:12" s="244" customFormat="1" ht="16.5" customHeight="1">
      <c r="A196" s="196" t="s">
        <v>285</v>
      </c>
      <c r="B196" s="197" t="s">
        <v>273</v>
      </c>
      <c r="C196" s="294" t="s">
        <v>274</v>
      </c>
      <c r="D196" s="295" t="s">
        <v>46</v>
      </c>
      <c r="E196" s="296">
        <f>E189</f>
        <v>41</v>
      </c>
      <c r="F196" s="749"/>
      <c r="G196" s="240">
        <f>$E196*F196</f>
        <v>0</v>
      </c>
      <c r="H196" s="241">
        <v>0.00016</v>
      </c>
      <c r="I196" s="241">
        <f>E196*H196</f>
        <v>0.006560000000000001</v>
      </c>
      <c r="J196" s="243">
        <v>0</v>
      </c>
      <c r="K196" s="243">
        <f>E196*J196</f>
        <v>0</v>
      </c>
      <c r="L196" s="241"/>
    </row>
    <row r="197" spans="1:12" s="244" customFormat="1" ht="16.5" customHeight="1">
      <c r="A197" s="196" t="s">
        <v>286</v>
      </c>
      <c r="B197" s="197" t="s">
        <v>275</v>
      </c>
      <c r="C197" s="294" t="s">
        <v>276</v>
      </c>
      <c r="D197" s="295" t="s">
        <v>46</v>
      </c>
      <c r="E197" s="296">
        <f>E189</f>
        <v>41</v>
      </c>
      <c r="F197" s="749"/>
      <c r="G197" s="240">
        <f>$E197*F197</f>
        <v>0</v>
      </c>
      <c r="H197" s="241">
        <v>0.00019</v>
      </c>
      <c r="I197" s="241">
        <f>E197*H197</f>
        <v>0.00779</v>
      </c>
      <c r="J197" s="243">
        <v>0</v>
      </c>
      <c r="K197" s="243">
        <f>E197*J197</f>
        <v>0</v>
      </c>
      <c r="L197" s="241"/>
    </row>
    <row r="198" spans="1:12" s="244" customFormat="1" ht="16.5" customHeight="1">
      <c r="A198" s="196" t="s">
        <v>287</v>
      </c>
      <c r="B198" s="197" t="s">
        <v>277</v>
      </c>
      <c r="C198" s="294" t="s">
        <v>278</v>
      </c>
      <c r="D198" s="295" t="s">
        <v>46</v>
      </c>
      <c r="E198" s="296">
        <f>E189</f>
        <v>41</v>
      </c>
      <c r="F198" s="749"/>
      <c r="G198" s="240">
        <f>$E198*F198</f>
        <v>0</v>
      </c>
      <c r="H198" s="241">
        <v>1E-05</v>
      </c>
      <c r="I198" s="241">
        <f>E198*H198</f>
        <v>0.00041000000000000005</v>
      </c>
      <c r="J198" s="243">
        <v>0</v>
      </c>
      <c r="K198" s="243">
        <f>E198*J198</f>
        <v>0</v>
      </c>
      <c r="L198" s="241"/>
    </row>
    <row r="199" spans="1:12" s="244" customFormat="1" ht="16.5" customHeight="1">
      <c r="A199" s="196" t="s">
        <v>288</v>
      </c>
      <c r="B199" s="197" t="s">
        <v>1627</v>
      </c>
      <c r="C199" s="294" t="s">
        <v>1628</v>
      </c>
      <c r="D199" s="295" t="s">
        <v>46</v>
      </c>
      <c r="E199" s="296">
        <f>E189</f>
        <v>41</v>
      </c>
      <c r="F199" s="296"/>
      <c r="G199" s="240">
        <f>$E199*F199</f>
        <v>0</v>
      </c>
      <c r="H199" s="241">
        <v>4E-05</v>
      </c>
      <c r="I199" s="241">
        <f>E199*H199</f>
        <v>0.0016400000000000002</v>
      </c>
      <c r="J199" s="243">
        <v>0</v>
      </c>
      <c r="K199" s="243">
        <f>E199*J199</f>
        <v>0</v>
      </c>
      <c r="L199" s="241"/>
    </row>
    <row r="200" spans="1:12" s="244" customFormat="1" ht="16.5" customHeight="1">
      <c r="A200" s="196" t="s">
        <v>535</v>
      </c>
      <c r="B200" s="197" t="s">
        <v>279</v>
      </c>
      <c r="C200" s="294" t="s">
        <v>280</v>
      </c>
      <c r="D200" s="295" t="s">
        <v>73</v>
      </c>
      <c r="E200" s="297">
        <f>I200</f>
        <v>0.756325568</v>
      </c>
      <c r="F200" s="296"/>
      <c r="G200" s="240">
        <f>$E200*F200</f>
        <v>0</v>
      </c>
      <c r="H200" s="241"/>
      <c r="I200" s="438">
        <f>SUM(I187:I199)</f>
        <v>0.756325568</v>
      </c>
      <c r="J200" s="241"/>
      <c r="K200" s="438">
        <f>SUM(K189:K199)</f>
        <v>0</v>
      </c>
      <c r="L200" s="241"/>
    </row>
    <row r="201" spans="1:7" ht="14" thickBot="1">
      <c r="A201" s="218"/>
      <c r="B201" s="412"/>
      <c r="C201" s="220"/>
      <c r="D201" s="221"/>
      <c r="E201" s="413"/>
      <c r="F201" s="414"/>
      <c r="G201" s="415"/>
    </row>
    <row r="202" spans="1:7" ht="17.25" customHeight="1" thickBot="1">
      <c r="A202" s="225"/>
      <c r="B202" s="226"/>
      <c r="C202" s="227" t="s">
        <v>113</v>
      </c>
      <c r="D202" s="226"/>
      <c r="E202" s="416"/>
      <c r="F202" s="417"/>
      <c r="G202" s="230">
        <f>SUBTOTAL(9,G185:G201)</f>
        <v>0</v>
      </c>
    </row>
    <row r="203" spans="1:7" ht="13" thickBot="1">
      <c r="A203" s="179"/>
      <c r="B203" s="180"/>
      <c r="C203" s="180"/>
      <c r="D203" s="180"/>
      <c r="E203" s="180"/>
      <c r="F203" s="180"/>
      <c r="G203" s="396"/>
    </row>
    <row r="204" spans="1:7" ht="13" thickBot="1">
      <c r="A204" s="182" t="s">
        <v>139</v>
      </c>
      <c r="B204" s="183" t="s">
        <v>207</v>
      </c>
      <c r="C204" s="184" t="s">
        <v>281</v>
      </c>
      <c r="D204" s="397"/>
      <c r="E204" s="398"/>
      <c r="F204" s="187"/>
      <c r="G204" s="399"/>
    </row>
    <row r="205" spans="1:7" ht="12.75">
      <c r="A205" s="189"/>
      <c r="B205" s="400"/>
      <c r="C205" s="232"/>
      <c r="D205" s="233"/>
      <c r="E205" s="401"/>
      <c r="F205" s="402"/>
      <c r="G205" s="403"/>
    </row>
    <row r="206" spans="1:20" s="244" customFormat="1" ht="21" customHeight="1">
      <c r="A206" s="196" t="s">
        <v>192</v>
      </c>
      <c r="B206" s="197">
        <v>784121001</v>
      </c>
      <c r="C206" s="294" t="s">
        <v>1683</v>
      </c>
      <c r="D206" s="295" t="s">
        <v>46</v>
      </c>
      <c r="E206" s="404">
        <f>SUM(D207)</f>
        <v>77.1</v>
      </c>
      <c r="F206" s="404"/>
      <c r="G206" s="200">
        <f>E206*F206</f>
        <v>0</v>
      </c>
      <c r="H206" s="242">
        <v>0</v>
      </c>
      <c r="I206" s="242">
        <f>E206*H206</f>
        <v>0</v>
      </c>
      <c r="J206" s="243">
        <v>0.00031</v>
      </c>
      <c r="K206" s="243">
        <f>E206*J206</f>
        <v>0.023901</v>
      </c>
      <c r="L206" s="243"/>
      <c r="M206" s="243"/>
      <c r="N206" s="405"/>
      <c r="O206" s="406"/>
      <c r="P206" s="406"/>
      <c r="Q206" s="406"/>
      <c r="R206" s="406"/>
      <c r="S206" s="406"/>
      <c r="T206" s="406"/>
    </row>
    <row r="207" spans="1:20" s="596" customFormat="1" ht="19.5" customHeight="1">
      <c r="A207" s="683"/>
      <c r="B207" s="681"/>
      <c r="C207" s="678" t="s">
        <v>1720</v>
      </c>
      <c r="D207" s="685">
        <f>41+36.1</f>
        <v>77.1</v>
      </c>
      <c r="E207" s="679"/>
      <c r="F207" s="679"/>
      <c r="G207" s="680"/>
      <c r="H207" s="592"/>
      <c r="I207" s="592"/>
      <c r="J207" s="593"/>
      <c r="K207" s="593"/>
      <c r="L207" s="593"/>
      <c r="M207" s="593"/>
      <c r="N207" s="594"/>
      <c r="O207" s="595"/>
      <c r="P207" s="595"/>
      <c r="Q207" s="595"/>
      <c r="R207" s="595"/>
      <c r="S207" s="595"/>
      <c r="T207" s="595"/>
    </row>
    <row r="208" spans="1:20" s="244" customFormat="1" ht="21" customHeight="1">
      <c r="A208" s="196" t="s">
        <v>193</v>
      </c>
      <c r="B208" s="197">
        <v>784121011</v>
      </c>
      <c r="C208" s="294" t="s">
        <v>1684</v>
      </c>
      <c r="D208" s="295" t="s">
        <v>46</v>
      </c>
      <c r="E208" s="404">
        <f>E206</f>
        <v>77.1</v>
      </c>
      <c r="F208" s="404"/>
      <c r="G208" s="200">
        <f>E208*F208</f>
        <v>0</v>
      </c>
      <c r="H208" s="242"/>
      <c r="I208" s="242"/>
      <c r="J208" s="243"/>
      <c r="K208" s="243"/>
      <c r="L208" s="243"/>
      <c r="M208" s="243"/>
      <c r="N208" s="405"/>
      <c r="O208" s="406"/>
      <c r="P208" s="406"/>
      <c r="Q208" s="406"/>
      <c r="R208" s="406"/>
      <c r="S208" s="406"/>
      <c r="T208" s="406"/>
    </row>
    <row r="209" spans="1:12" s="251" customFormat="1" ht="19.5" customHeight="1">
      <c r="A209" s="683"/>
      <c r="B209" s="771"/>
      <c r="C209" s="772"/>
      <c r="D209" s="727"/>
      <c r="E209" s="773"/>
      <c r="F209" s="774"/>
      <c r="G209" s="775"/>
      <c r="H209" s="250"/>
      <c r="I209" s="250"/>
      <c r="J209" s="250"/>
      <c r="K209" s="250"/>
      <c r="L209" s="250"/>
    </row>
    <row r="210" spans="1:20" s="204" customFormat="1" ht="29.25" customHeight="1">
      <c r="A210" s="196" t="s">
        <v>194</v>
      </c>
      <c r="B210" s="197" t="s">
        <v>212</v>
      </c>
      <c r="C210" s="136" t="s">
        <v>213</v>
      </c>
      <c r="D210" s="198" t="s">
        <v>46</v>
      </c>
      <c r="E210" s="199">
        <v>41</v>
      </c>
      <c r="F210" s="199"/>
      <c r="G210" s="200">
        <f>E210*F210</f>
        <v>0</v>
      </c>
      <c r="H210" s="201">
        <v>0</v>
      </c>
      <c r="I210" s="201">
        <f>E210*H210</f>
        <v>0</v>
      </c>
      <c r="J210" s="85">
        <v>0</v>
      </c>
      <c r="K210" s="85">
        <f>E210*J210</f>
        <v>0</v>
      </c>
      <c r="L210" s="85"/>
      <c r="M210" s="85"/>
      <c r="N210" s="202"/>
      <c r="O210" s="203"/>
      <c r="P210" s="203"/>
      <c r="Q210" s="203"/>
      <c r="R210" s="203"/>
      <c r="S210" s="203"/>
      <c r="T210" s="203"/>
    </row>
    <row r="211" spans="1:20" s="204" customFormat="1" ht="29.25" customHeight="1">
      <c r="A211" s="196" t="s">
        <v>195</v>
      </c>
      <c r="B211" s="197" t="s">
        <v>215</v>
      </c>
      <c r="C211" s="136" t="s">
        <v>216</v>
      </c>
      <c r="D211" s="198" t="s">
        <v>46</v>
      </c>
      <c r="E211" s="199">
        <f>SUM(D212)</f>
        <v>37.495000000000005</v>
      </c>
      <c r="F211" s="199"/>
      <c r="G211" s="200">
        <f>E211*F211</f>
        <v>0</v>
      </c>
      <c r="H211" s="201">
        <v>0</v>
      </c>
      <c r="I211" s="201">
        <f>E211*H211</f>
        <v>0</v>
      </c>
      <c r="J211" s="85">
        <v>0</v>
      </c>
      <c r="K211" s="85">
        <f>E211*J211</f>
        <v>0</v>
      </c>
      <c r="L211" s="85"/>
      <c r="M211" s="85"/>
      <c r="N211" s="202"/>
      <c r="O211" s="203"/>
      <c r="P211" s="203"/>
      <c r="Q211" s="203"/>
      <c r="R211" s="203"/>
      <c r="S211" s="203"/>
      <c r="T211" s="203"/>
    </row>
    <row r="212" spans="1:14" s="595" customFormat="1" ht="17.25" customHeight="1">
      <c r="A212" s="683"/>
      <c r="B212" s="686"/>
      <c r="C212" s="687" t="s">
        <v>1725</v>
      </c>
      <c r="D212" s="685">
        <f>2.06*1.75+0.75*2.4+32.1-0.01</f>
        <v>37.495000000000005</v>
      </c>
      <c r="E212" s="688"/>
      <c r="F212" s="688"/>
      <c r="G212" s="689"/>
      <c r="H212" s="593"/>
      <c r="I212" s="593"/>
      <c r="J212" s="593"/>
      <c r="K212" s="593"/>
      <c r="L212" s="593"/>
      <c r="M212" s="593"/>
      <c r="N212" s="594"/>
    </row>
    <row r="213" spans="1:20" s="204" customFormat="1" ht="23.25" customHeight="1">
      <c r="A213" s="196" t="s">
        <v>289</v>
      </c>
      <c r="B213" s="197" t="s">
        <v>218</v>
      </c>
      <c r="C213" s="136" t="s">
        <v>219</v>
      </c>
      <c r="D213" s="198" t="s">
        <v>46</v>
      </c>
      <c r="E213" s="199">
        <f>1.05*(E210++E211)+0.08</f>
        <v>82.49975</v>
      </c>
      <c r="F213" s="199"/>
      <c r="G213" s="200">
        <f>E213*F213</f>
        <v>0</v>
      </c>
      <c r="H213" s="201">
        <v>0</v>
      </c>
      <c r="I213" s="201">
        <f>E213*H213</f>
        <v>0</v>
      </c>
      <c r="J213" s="85"/>
      <c r="K213" s="85">
        <f>E213*J213</f>
        <v>0</v>
      </c>
      <c r="L213" s="85"/>
      <c r="M213" s="85"/>
      <c r="N213" s="202"/>
      <c r="O213" s="203"/>
      <c r="P213" s="203"/>
      <c r="Q213" s="203"/>
      <c r="R213" s="203"/>
      <c r="S213" s="203"/>
      <c r="T213" s="203"/>
    </row>
    <row r="214" spans="1:20" s="204" customFormat="1" ht="21" customHeight="1">
      <c r="A214" s="196" t="s">
        <v>290</v>
      </c>
      <c r="B214" s="197" t="s">
        <v>221</v>
      </c>
      <c r="C214" s="136" t="s">
        <v>222</v>
      </c>
      <c r="D214" s="198" t="s">
        <v>46</v>
      </c>
      <c r="E214" s="669">
        <f>SUM(D215)</f>
        <v>108.30000000000003</v>
      </c>
      <c r="F214" s="199"/>
      <c r="G214" s="200">
        <f>E214*F214</f>
        <v>0</v>
      </c>
      <c r="H214" s="201">
        <v>0.00021</v>
      </c>
      <c r="I214" s="201">
        <f>E214*H214</f>
        <v>0.022743000000000006</v>
      </c>
      <c r="J214" s="85">
        <v>0</v>
      </c>
      <c r="K214" s="85">
        <f>E214*J214</f>
        <v>0</v>
      </c>
      <c r="L214" s="85"/>
      <c r="M214" s="85"/>
      <c r="N214" s="202"/>
      <c r="O214" s="203"/>
      <c r="P214" s="203"/>
      <c r="Q214" s="203"/>
      <c r="R214" s="203"/>
      <c r="S214" s="203"/>
      <c r="T214" s="203"/>
    </row>
    <row r="215" spans="1:20" s="596" customFormat="1" ht="19.5" customHeight="1">
      <c r="A215" s="683"/>
      <c r="B215" s="681"/>
      <c r="C215" s="678" t="s">
        <v>1726</v>
      </c>
      <c r="D215" s="685">
        <f>27.6*3.6+41-32.1+0.04</f>
        <v>108.30000000000003</v>
      </c>
      <c r="E215" s="679"/>
      <c r="F215" s="679"/>
      <c r="G215" s="680"/>
      <c r="H215" s="592"/>
      <c r="I215" s="592"/>
      <c r="J215" s="593"/>
      <c r="K215" s="593"/>
      <c r="L215" s="593"/>
      <c r="M215" s="593"/>
      <c r="N215" s="594"/>
      <c r="O215" s="595"/>
      <c r="P215" s="595"/>
      <c r="Q215" s="595"/>
      <c r="R215" s="595"/>
      <c r="S215" s="595"/>
      <c r="T215" s="595"/>
    </row>
    <row r="216" spans="1:20" s="204" customFormat="1" ht="25.5" customHeight="1">
      <c r="A216" s="196" t="s">
        <v>336</v>
      </c>
      <c r="B216" s="197" t="s">
        <v>224</v>
      </c>
      <c r="C216" s="136" t="s">
        <v>225</v>
      </c>
      <c r="D216" s="198" t="s">
        <v>46</v>
      </c>
      <c r="E216" s="199">
        <f>E214</f>
        <v>108.30000000000003</v>
      </c>
      <c r="F216" s="199"/>
      <c r="G216" s="200">
        <f>E216*F216</f>
        <v>0</v>
      </c>
      <c r="H216" s="201">
        <v>0.00021</v>
      </c>
      <c r="I216" s="201">
        <f>E216*H216</f>
        <v>0.022743000000000006</v>
      </c>
      <c r="J216" s="85">
        <v>0</v>
      </c>
      <c r="K216" s="85">
        <f>E216*J216</f>
        <v>0</v>
      </c>
      <c r="L216" s="85"/>
      <c r="M216" s="85"/>
      <c r="N216" s="202"/>
      <c r="O216" s="203"/>
      <c r="P216" s="203"/>
      <c r="Q216" s="203"/>
      <c r="R216" s="203"/>
      <c r="S216" s="203"/>
      <c r="T216" s="203"/>
    </row>
    <row r="217" spans="1:20" s="204" customFormat="1" ht="28.5" customHeight="1">
      <c r="A217" s="196" t="s">
        <v>337</v>
      </c>
      <c r="B217" s="197" t="s">
        <v>227</v>
      </c>
      <c r="C217" s="136" t="s">
        <v>1727</v>
      </c>
      <c r="D217" s="198" t="s">
        <v>46</v>
      </c>
      <c r="E217" s="199">
        <f>E216</f>
        <v>108.30000000000003</v>
      </c>
      <c r="F217" s="199"/>
      <c r="G217" s="200">
        <f>E217*F217</f>
        <v>0</v>
      </c>
      <c r="H217" s="201">
        <v>0.00028</v>
      </c>
      <c r="I217" s="201">
        <f>E217*H217</f>
        <v>0.030324000000000004</v>
      </c>
      <c r="J217" s="85">
        <v>0</v>
      </c>
      <c r="K217" s="85">
        <f>E217*J217</f>
        <v>0</v>
      </c>
      <c r="L217" s="85"/>
      <c r="M217" s="85"/>
      <c r="N217" s="202"/>
      <c r="O217" s="203"/>
      <c r="P217" s="203"/>
      <c r="Q217" s="203"/>
      <c r="R217" s="203"/>
      <c r="S217" s="203"/>
      <c r="T217" s="203"/>
    </row>
    <row r="218" spans="1:7" ht="14" thickBot="1">
      <c r="A218" s="218"/>
      <c r="B218" s="412"/>
      <c r="C218" s="220"/>
      <c r="D218" s="221"/>
      <c r="E218" s="413"/>
      <c r="F218" s="414"/>
      <c r="G218" s="415"/>
    </row>
    <row r="219" spans="1:7" s="327" customFormat="1" ht="18" customHeight="1" thickBot="1">
      <c r="A219" s="225"/>
      <c r="B219" s="226"/>
      <c r="C219" s="227" t="s">
        <v>113</v>
      </c>
      <c r="D219" s="226"/>
      <c r="E219" s="416"/>
      <c r="F219" s="417"/>
      <c r="G219" s="230">
        <f>SUBTOTAL(9,G205:G218)</f>
        <v>0</v>
      </c>
    </row>
    <row r="220" spans="1:7" s="327" customFormat="1" ht="13" thickBot="1">
      <c r="A220" s="179"/>
      <c r="B220" s="180"/>
      <c r="C220" s="180"/>
      <c r="D220" s="180"/>
      <c r="E220" s="180"/>
      <c r="F220" s="180"/>
      <c r="G220" s="396"/>
    </row>
    <row r="221" spans="1:7" ht="13" thickBot="1">
      <c r="A221" s="182" t="s">
        <v>197</v>
      </c>
      <c r="B221" s="183">
        <v>9</v>
      </c>
      <c r="C221" s="184" t="s">
        <v>229</v>
      </c>
      <c r="D221" s="397"/>
      <c r="E221" s="398"/>
      <c r="F221" s="187"/>
      <c r="G221" s="399"/>
    </row>
    <row r="222" spans="1:7" ht="12.75">
      <c r="A222" s="189"/>
      <c r="B222" s="400"/>
      <c r="C222" s="232"/>
      <c r="D222" s="233"/>
      <c r="E222" s="401"/>
      <c r="F222" s="402"/>
      <c r="G222" s="403"/>
    </row>
    <row r="223" spans="1:20" s="204" customFormat="1" ht="22">
      <c r="A223" s="196" t="s">
        <v>198</v>
      </c>
      <c r="B223" s="305">
        <v>763121411</v>
      </c>
      <c r="C223" s="306" t="s">
        <v>1504</v>
      </c>
      <c r="D223" s="198" t="s">
        <v>46</v>
      </c>
      <c r="E223" s="199">
        <f>SUM(D224)</f>
        <v>12</v>
      </c>
      <c r="F223" s="199"/>
      <c r="G223" s="200">
        <f>E223*F223</f>
        <v>0</v>
      </c>
      <c r="H223" s="201">
        <v>0.011820000000000002</v>
      </c>
      <c r="I223" s="201">
        <f>E223*H223</f>
        <v>0.14184000000000002</v>
      </c>
      <c r="J223" s="85">
        <v>0</v>
      </c>
      <c r="K223" s="85">
        <f>E223*J223</f>
        <v>0</v>
      </c>
      <c r="L223" s="85"/>
      <c r="M223" s="85"/>
      <c r="N223" s="202"/>
      <c r="O223" s="203"/>
      <c r="P223" s="203"/>
      <c r="Q223" s="203"/>
      <c r="R223" s="203"/>
      <c r="S223" s="203"/>
      <c r="T223" s="203"/>
    </row>
    <row r="224" spans="1:12" s="251" customFormat="1" ht="17.25" customHeight="1">
      <c r="A224" s="196"/>
      <c r="B224" s="205"/>
      <c r="C224" s="245" t="s">
        <v>1728</v>
      </c>
      <c r="D224" s="246">
        <f>1.2*2.5+3*3</f>
        <v>12</v>
      </c>
      <c r="E224" s="247"/>
      <c r="F224" s="247"/>
      <c r="G224" s="248"/>
      <c r="H224" s="249"/>
      <c r="I224" s="250"/>
      <c r="J224" s="250"/>
      <c r="K224" s="250"/>
      <c r="L224" s="250"/>
    </row>
    <row r="225" spans="1:20" s="204" customFormat="1" ht="22.5" customHeight="1">
      <c r="A225" s="196" t="s">
        <v>199</v>
      </c>
      <c r="B225" s="305">
        <v>763121811</v>
      </c>
      <c r="C225" s="306" t="s">
        <v>233</v>
      </c>
      <c r="D225" s="305" t="s">
        <v>46</v>
      </c>
      <c r="E225" s="199">
        <f>E223</f>
        <v>12</v>
      </c>
      <c r="F225" s="199"/>
      <c r="G225" s="200">
        <f>E225*F225</f>
        <v>0</v>
      </c>
      <c r="H225" s="85">
        <v>0</v>
      </c>
      <c r="I225" s="201">
        <f>E225*H225</f>
        <v>0</v>
      </c>
      <c r="J225" s="85">
        <v>0.01725</v>
      </c>
      <c r="K225" s="85">
        <f>E225*J225</f>
        <v>0.20700000000000002</v>
      </c>
      <c r="L225" s="85"/>
      <c r="M225" s="85"/>
      <c r="N225" s="202"/>
      <c r="O225" s="203"/>
      <c r="P225" s="203"/>
      <c r="Q225" s="203"/>
      <c r="R225" s="203"/>
      <c r="S225" s="203"/>
      <c r="T225" s="203"/>
    </row>
    <row r="226" spans="1:20" s="204" customFormat="1" ht="29.25" customHeight="1">
      <c r="A226" s="196" t="s">
        <v>201</v>
      </c>
      <c r="B226" s="197">
        <v>784191003</v>
      </c>
      <c r="C226" s="136" t="s">
        <v>1505</v>
      </c>
      <c r="D226" s="198" t="s">
        <v>46</v>
      </c>
      <c r="E226" s="199">
        <f>SUM(D227)</f>
        <v>3.595</v>
      </c>
      <c r="F226" s="199"/>
      <c r="G226" s="200">
        <f>E226*F226</f>
        <v>0</v>
      </c>
      <c r="H226" s="201">
        <v>1E-05</v>
      </c>
      <c r="I226" s="201">
        <f>E226*H226</f>
        <v>3.5950000000000006E-05</v>
      </c>
      <c r="J226" s="85">
        <v>0</v>
      </c>
      <c r="K226" s="85">
        <f>E226*J226</f>
        <v>0</v>
      </c>
      <c r="L226" s="85"/>
      <c r="M226" s="85"/>
      <c r="N226" s="202"/>
      <c r="O226" s="203"/>
      <c r="P226" s="203"/>
      <c r="Q226" s="203"/>
      <c r="R226" s="203"/>
      <c r="S226" s="203"/>
      <c r="T226" s="203"/>
    </row>
    <row r="227" spans="1:14" s="595" customFormat="1" ht="17.25" customHeight="1">
      <c r="A227" s="683"/>
      <c r="B227" s="686"/>
      <c r="C227" s="687" t="s">
        <v>1729</v>
      </c>
      <c r="D227" s="685">
        <f>2.06*1.75-0.01</f>
        <v>3.595</v>
      </c>
      <c r="E227" s="688"/>
      <c r="F227" s="688"/>
      <c r="G227" s="689"/>
      <c r="H227" s="593"/>
      <c r="I227" s="593"/>
      <c r="J227" s="593"/>
      <c r="K227" s="593"/>
      <c r="L227" s="593"/>
      <c r="M227" s="593"/>
      <c r="N227" s="594"/>
    </row>
    <row r="228" spans="1:20" s="204" customFormat="1" ht="24" customHeight="1">
      <c r="A228" s="196" t="s">
        <v>202</v>
      </c>
      <c r="B228" s="197" t="s">
        <v>238</v>
      </c>
      <c r="C228" s="136" t="s">
        <v>1506</v>
      </c>
      <c r="D228" s="198" t="s">
        <v>46</v>
      </c>
      <c r="E228" s="199">
        <v>41</v>
      </c>
      <c r="F228" s="199"/>
      <c r="G228" s="200">
        <f>E228*F228</f>
        <v>0</v>
      </c>
      <c r="H228" s="201">
        <v>1E-05</v>
      </c>
      <c r="I228" s="201">
        <f>E228*H228</f>
        <v>0.00041000000000000005</v>
      </c>
      <c r="J228" s="85">
        <v>0</v>
      </c>
      <c r="K228" s="85">
        <f>E228*J228</f>
        <v>0</v>
      </c>
      <c r="L228" s="85"/>
      <c r="M228" s="85"/>
      <c r="N228" s="202"/>
      <c r="O228" s="203"/>
      <c r="P228" s="203"/>
      <c r="Q228" s="203"/>
      <c r="R228" s="203"/>
      <c r="S228" s="203"/>
      <c r="T228" s="203"/>
    </row>
    <row r="229" spans="1:20" s="204" customFormat="1" ht="18.75" customHeight="1">
      <c r="A229" s="196" t="s">
        <v>203</v>
      </c>
      <c r="B229" s="305" t="s">
        <v>1507</v>
      </c>
      <c r="C229" s="306" t="s">
        <v>242</v>
      </c>
      <c r="D229" s="305" t="s">
        <v>243</v>
      </c>
      <c r="E229" s="199">
        <v>30</v>
      </c>
      <c r="F229" s="199"/>
      <c r="G229" s="200">
        <f>E229*F229</f>
        <v>0</v>
      </c>
      <c r="H229" s="85"/>
      <c r="I229" s="201"/>
      <c r="J229" s="85"/>
      <c r="K229" s="85"/>
      <c r="L229" s="85"/>
      <c r="M229" s="85"/>
      <c r="N229" s="202"/>
      <c r="O229" s="203"/>
      <c r="P229" s="203"/>
      <c r="Q229" s="203"/>
      <c r="R229" s="203"/>
      <c r="S229" s="203"/>
      <c r="T229" s="203"/>
    </row>
    <row r="230" spans="1:20" s="204" customFormat="1" ht="32.25" customHeight="1">
      <c r="A230" s="196" t="s">
        <v>204</v>
      </c>
      <c r="B230" s="197" t="s">
        <v>1508</v>
      </c>
      <c r="C230" s="167" t="s">
        <v>1509</v>
      </c>
      <c r="D230" s="197" t="s">
        <v>46</v>
      </c>
      <c r="E230" s="199">
        <v>41</v>
      </c>
      <c r="F230" s="199"/>
      <c r="G230" s="200">
        <f>E230*F230</f>
        <v>0</v>
      </c>
      <c r="H230" s="85"/>
      <c r="I230" s="201"/>
      <c r="J230" s="85"/>
      <c r="K230" s="85"/>
      <c r="L230" s="85"/>
      <c r="M230" s="85"/>
      <c r="N230" s="202"/>
      <c r="O230" s="203"/>
      <c r="P230" s="203"/>
      <c r="Q230" s="203"/>
      <c r="R230" s="203"/>
      <c r="S230" s="203"/>
      <c r="T230" s="203"/>
    </row>
    <row r="231" spans="1:12" s="244" customFormat="1" ht="13">
      <c r="A231" s="196"/>
      <c r="B231" s="412"/>
      <c r="C231" s="220"/>
      <c r="D231" s="221"/>
      <c r="E231" s="414"/>
      <c r="F231" s="414"/>
      <c r="G231" s="418"/>
      <c r="H231" s="241"/>
      <c r="I231" s="241"/>
      <c r="J231" s="241"/>
      <c r="K231" s="241"/>
      <c r="L231" s="241"/>
    </row>
    <row r="232" spans="1:12" s="314" customFormat="1" ht="44.25" customHeight="1">
      <c r="A232" s="196" t="s">
        <v>205</v>
      </c>
      <c r="B232" s="748"/>
      <c r="C232" s="308" t="s">
        <v>247</v>
      </c>
      <c r="D232" s="309"/>
      <c r="E232" s="310"/>
      <c r="F232" s="310"/>
      <c r="G232" s="311">
        <f>$E232*F232</f>
        <v>0</v>
      </c>
      <c r="H232" s="312"/>
      <c r="I232" s="312"/>
      <c r="J232" s="313"/>
      <c r="K232" s="313"/>
      <c r="L232" s="312"/>
    </row>
    <row r="233" spans="1:7" ht="14" thickBot="1">
      <c r="A233" s="218"/>
      <c r="B233" s="412"/>
      <c r="C233" s="220"/>
      <c r="D233" s="221"/>
      <c r="E233" s="413"/>
      <c r="F233" s="414"/>
      <c r="G233" s="415"/>
    </row>
    <row r="234" spans="1:7" ht="18" customHeight="1" thickBot="1">
      <c r="A234" s="225"/>
      <c r="B234" s="226"/>
      <c r="C234" s="227" t="s">
        <v>113</v>
      </c>
      <c r="D234" s="226"/>
      <c r="E234" s="416"/>
      <c r="F234" s="417"/>
      <c r="G234" s="230">
        <f>SUBTOTAL(9,G222:G233)</f>
        <v>0</v>
      </c>
    </row>
    <row r="235" spans="1:7" ht="13" thickBot="1">
      <c r="A235" s="179"/>
      <c r="B235" s="180"/>
      <c r="C235" s="180"/>
      <c r="D235" s="180"/>
      <c r="E235" s="180"/>
      <c r="F235" s="180"/>
      <c r="G235" s="396"/>
    </row>
    <row r="236" spans="1:7" s="327" customFormat="1" ht="27.75" customHeight="1" thickBot="1">
      <c r="A236" s="453"/>
      <c r="B236" s="316"/>
      <c r="C236" s="317" t="s">
        <v>38</v>
      </c>
      <c r="D236" s="454"/>
      <c r="E236" s="454"/>
      <c r="F236" s="454"/>
      <c r="G236" s="319">
        <f>SUBTOTAL(9,G32:G235)</f>
        <v>0</v>
      </c>
    </row>
    <row r="238" spans="1:7" s="327" customFormat="1" ht="12.75">
      <c r="A238" s="322"/>
      <c r="B238" s="323"/>
      <c r="C238" s="323"/>
      <c r="D238" s="325"/>
      <c r="E238" s="326"/>
      <c r="F238" s="326"/>
      <c r="G238" s="328"/>
    </row>
    <row r="239" spans="1:7" s="327" customFormat="1" ht="12.75">
      <c r="A239" s="322"/>
      <c r="B239" s="323"/>
      <c r="C239" s="323"/>
      <c r="D239" s="325"/>
      <c r="E239" s="326"/>
      <c r="F239" s="326"/>
      <c r="G239" s="328"/>
    </row>
    <row r="240" spans="1:7" s="327" customFormat="1" ht="12.75">
      <c r="A240" s="322"/>
      <c r="B240" s="323"/>
      <c r="C240" s="323"/>
      <c r="D240" s="325"/>
      <c r="E240" s="326"/>
      <c r="F240" s="326"/>
      <c r="G240" s="328"/>
    </row>
    <row r="241" spans="1:7" s="327" customFormat="1" ht="12.75">
      <c r="A241" s="322"/>
      <c r="B241" s="323"/>
      <c r="C241" s="323"/>
      <c r="D241" s="325"/>
      <c r="E241" s="326"/>
      <c r="F241" s="326"/>
      <c r="G241" s="328"/>
    </row>
    <row r="242" spans="1:7" s="327" customFormat="1" ht="12.75">
      <c r="A242" s="322"/>
      <c r="B242" s="323"/>
      <c r="C242" s="323"/>
      <c r="D242" s="325"/>
      <c r="E242" s="326"/>
      <c r="F242" s="326"/>
      <c r="G242" s="328"/>
    </row>
    <row r="243" spans="1:7" s="327" customFormat="1" ht="12.75">
      <c r="A243" s="322"/>
      <c r="B243" s="323"/>
      <c r="C243" s="323"/>
      <c r="D243" s="325"/>
      <c r="E243" s="326"/>
      <c r="F243" s="326"/>
      <c r="G243" s="328"/>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BJ454"/>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8" width="10.28125" style="480" customWidth="1"/>
    <col min="9" max="9" width="10.421875" style="480" customWidth="1"/>
    <col min="10" max="10" width="11.421875" style="480" customWidth="1"/>
    <col min="11" max="11" width="10.8515625" style="480" customWidth="1"/>
    <col min="12" max="12" width="8.8515625" style="480" customWidth="1"/>
    <col min="13" max="14" width="8.8515625" style="80" customWidth="1"/>
    <col min="15" max="15" width="8.8515625" style="791" customWidth="1"/>
    <col min="16" max="17" width="8.8515625" style="798" customWidth="1"/>
    <col min="18" max="18" width="8.8515625" style="799" customWidth="1"/>
    <col min="19" max="16384" width="8.8515625" style="80" customWidth="1"/>
  </cols>
  <sheetData>
    <row r="1" spans="1:10" ht="60" customHeight="1">
      <c r="A1" s="81"/>
      <c r="B1" s="82" t="s">
        <v>16</v>
      </c>
      <c r="C1" s="2" t="s">
        <v>1</v>
      </c>
      <c r="D1" s="2"/>
      <c r="E1" s="84"/>
      <c r="F1" s="1415" t="s">
        <v>2</v>
      </c>
      <c r="G1" s="1415"/>
      <c r="J1" s="481"/>
    </row>
    <row r="2" spans="1:10" ht="54.5" customHeight="1">
      <c r="A2" s="86"/>
      <c r="B2" s="87" t="s">
        <v>3</v>
      </c>
      <c r="C2" s="6" t="s">
        <v>2172</v>
      </c>
      <c r="D2" s="6"/>
      <c r="E2" s="89"/>
      <c r="F2" s="1416"/>
      <c r="G2" s="1416"/>
      <c r="J2" s="481"/>
    </row>
    <row r="3" spans="1:7" ht="50" customHeight="1">
      <c r="A3" s="86"/>
      <c r="B3" s="87" t="s">
        <v>17</v>
      </c>
      <c r="C3" s="8" t="s">
        <v>1102</v>
      </c>
      <c r="D3" s="89"/>
      <c r="E3" s="89"/>
      <c r="F3" s="1417" t="s">
        <v>1647</v>
      </c>
      <c r="G3" s="1417"/>
    </row>
    <row r="4" spans="1:7" ht="60.75" customHeight="1" thickBot="1">
      <c r="A4" s="91"/>
      <c r="B4" s="92" t="s">
        <v>19</v>
      </c>
      <c r="C4" s="11" t="s">
        <v>1160</v>
      </c>
      <c r="D4" s="94"/>
      <c r="E4" s="94"/>
      <c r="F4" s="1418"/>
      <c r="G4" s="1418"/>
    </row>
    <row r="5" spans="1:10" ht="15" customHeight="1" thickBot="1">
      <c r="A5" s="95"/>
      <c r="B5" s="96"/>
      <c r="C5" s="97"/>
      <c r="D5" s="98"/>
      <c r="E5" s="99"/>
      <c r="F5" s="100"/>
      <c r="G5" s="101"/>
      <c r="J5" s="77"/>
    </row>
    <row r="6" spans="1:18" s="109" customFormat="1" ht="12.75">
      <c r="A6" s="18" t="s">
        <v>20</v>
      </c>
      <c r="B6" s="20" t="s">
        <v>21</v>
      </c>
      <c r="C6" s="102" t="s">
        <v>22</v>
      </c>
      <c r="D6" s="20" t="s">
        <v>23</v>
      </c>
      <c r="E6" s="103" t="s">
        <v>24</v>
      </c>
      <c r="F6" s="104" t="s">
        <v>25</v>
      </c>
      <c r="G6" s="105" t="s">
        <v>26</v>
      </c>
      <c r="H6" s="482"/>
      <c r="I6" s="482"/>
      <c r="J6" s="106"/>
      <c r="K6" s="482"/>
      <c r="L6" s="482"/>
      <c r="O6" s="791"/>
      <c r="P6" s="798"/>
      <c r="Q6" s="798"/>
      <c r="R6" s="800"/>
    </row>
    <row r="7" spans="1:18" s="109" customFormat="1" ht="5.25" customHeight="1" thickBot="1">
      <c r="A7" s="110"/>
      <c r="B7" s="111"/>
      <c r="C7" s="112"/>
      <c r="D7" s="111"/>
      <c r="E7" s="113"/>
      <c r="F7" s="114"/>
      <c r="G7" s="115"/>
      <c r="H7" s="482"/>
      <c r="I7" s="482"/>
      <c r="J7" s="106"/>
      <c r="K7" s="482"/>
      <c r="L7" s="482"/>
      <c r="O7" s="791"/>
      <c r="P7" s="798"/>
      <c r="Q7" s="798"/>
      <c r="R7" s="800"/>
    </row>
    <row r="8" spans="1:18" s="125" customFormat="1" ht="12.75">
      <c r="A8" s="116"/>
      <c r="B8" s="117"/>
      <c r="C8" s="118"/>
      <c r="D8" s="118"/>
      <c r="E8" s="119"/>
      <c r="F8" s="120"/>
      <c r="G8" s="121"/>
      <c r="H8" s="483"/>
      <c r="I8" s="483"/>
      <c r="J8" s="122"/>
      <c r="K8" s="483"/>
      <c r="L8" s="483"/>
      <c r="O8" s="792"/>
      <c r="P8" s="801"/>
      <c r="Q8" s="801"/>
      <c r="R8" s="802"/>
    </row>
    <row r="9" spans="1:18" s="133" customFormat="1" ht="12.75">
      <c r="A9" s="126"/>
      <c r="B9" s="127"/>
      <c r="C9" s="128" t="s">
        <v>27</v>
      </c>
      <c r="D9" s="127"/>
      <c r="E9" s="129"/>
      <c r="F9" s="130"/>
      <c r="G9" s="131"/>
      <c r="H9" s="484"/>
      <c r="I9" s="484"/>
      <c r="J9" s="132"/>
      <c r="K9" s="484"/>
      <c r="L9" s="484"/>
      <c r="O9" s="792"/>
      <c r="P9" s="801"/>
      <c r="Q9" s="801"/>
      <c r="R9" s="803"/>
    </row>
    <row r="10" spans="1:7" ht="56.25" customHeight="1" hidden="1">
      <c r="A10" s="134"/>
      <c r="B10" s="135"/>
      <c r="C10" s="136" t="s">
        <v>248</v>
      </c>
      <c r="D10" s="135"/>
      <c r="E10" s="137"/>
      <c r="F10" s="138"/>
      <c r="G10" s="139"/>
    </row>
    <row r="11" spans="1:7" ht="35.25" customHeight="1" hidden="1">
      <c r="A11" s="134"/>
      <c r="B11" s="135"/>
      <c r="C11" s="136" t="s">
        <v>249</v>
      </c>
      <c r="D11" s="135"/>
      <c r="E11" s="137"/>
      <c r="F11" s="138"/>
      <c r="G11" s="139"/>
    </row>
    <row r="12" spans="1:7" ht="30.75" customHeight="1" hidden="1">
      <c r="A12" s="134"/>
      <c r="B12" s="135"/>
      <c r="C12" s="136" t="s">
        <v>250</v>
      </c>
      <c r="D12" s="135"/>
      <c r="E12" s="137"/>
      <c r="F12" s="138"/>
      <c r="G12" s="139"/>
    </row>
    <row r="13" spans="1:7" ht="66" customHeight="1" hidden="1">
      <c r="A13" s="140"/>
      <c r="B13" s="141"/>
      <c r="C13" s="485" t="s">
        <v>251</v>
      </c>
      <c r="D13" s="141"/>
      <c r="E13" s="142"/>
      <c r="F13" s="143"/>
      <c r="G13" s="144"/>
    </row>
    <row r="14" spans="1:7" ht="63" customHeight="1" hidden="1">
      <c r="A14" s="145"/>
      <c r="B14" s="146"/>
      <c r="C14" s="486" t="s">
        <v>32</v>
      </c>
      <c r="D14" s="146"/>
      <c r="E14" s="147"/>
      <c r="F14" s="148"/>
      <c r="G14" s="149"/>
    </row>
    <row r="15" spans="1:7" ht="29.25" customHeight="1" hidden="1">
      <c r="A15" s="134"/>
      <c r="B15" s="135"/>
      <c r="C15" s="150" t="s">
        <v>252</v>
      </c>
      <c r="D15" s="135"/>
      <c r="E15" s="137"/>
      <c r="F15" s="138"/>
      <c r="G15" s="139"/>
    </row>
    <row r="16" spans="1:7" ht="36.75" customHeight="1" hidden="1">
      <c r="A16" s="134"/>
      <c r="B16" s="135"/>
      <c r="C16" s="150" t="s">
        <v>253</v>
      </c>
      <c r="D16" s="135"/>
      <c r="E16" s="137"/>
      <c r="F16" s="138"/>
      <c r="G16" s="139"/>
    </row>
    <row r="17" spans="1:7" ht="43.5" customHeight="1" hidden="1">
      <c r="A17" s="134"/>
      <c r="B17" s="135"/>
      <c r="C17" s="150" t="s">
        <v>254</v>
      </c>
      <c r="D17" s="135"/>
      <c r="E17" s="137"/>
      <c r="F17" s="138"/>
      <c r="G17" s="139"/>
    </row>
    <row r="18" spans="1:18" s="133" customFormat="1" ht="12.75">
      <c r="A18" s="126"/>
      <c r="B18" s="127"/>
      <c r="C18" s="151"/>
      <c r="D18" s="127"/>
      <c r="E18" s="129"/>
      <c r="F18" s="130"/>
      <c r="G18" s="131"/>
      <c r="H18" s="484"/>
      <c r="I18" s="484"/>
      <c r="J18" s="132"/>
      <c r="K18" s="484"/>
      <c r="L18" s="484"/>
      <c r="O18" s="792"/>
      <c r="P18" s="801"/>
      <c r="Q18" s="801"/>
      <c r="R18" s="803"/>
    </row>
    <row r="19" spans="1:18" s="125" customFormat="1" ht="33" customHeight="1">
      <c r="A19" s="152"/>
      <c r="B19" s="153"/>
      <c r="C19" s="154" t="s">
        <v>36</v>
      </c>
      <c r="D19" s="153"/>
      <c r="E19" s="155"/>
      <c r="F19" s="156"/>
      <c r="G19" s="157"/>
      <c r="H19" s="483"/>
      <c r="I19" s="483"/>
      <c r="J19" s="122"/>
      <c r="K19" s="483"/>
      <c r="L19" s="483"/>
      <c r="O19" s="792"/>
      <c r="P19" s="801"/>
      <c r="Q19" s="801"/>
      <c r="R19" s="802"/>
    </row>
    <row r="20" spans="1:18" s="125" customFormat="1" ht="22">
      <c r="A20" s="152"/>
      <c r="B20" s="153"/>
      <c r="C20" s="158" t="s">
        <v>37</v>
      </c>
      <c r="D20" s="153"/>
      <c r="E20" s="155"/>
      <c r="F20" s="156"/>
      <c r="G20" s="394"/>
      <c r="H20" s="483"/>
      <c r="I20" s="483"/>
      <c r="J20" s="122"/>
      <c r="K20" s="483"/>
      <c r="L20" s="483"/>
      <c r="O20" s="792"/>
      <c r="P20" s="801"/>
      <c r="Q20" s="801"/>
      <c r="R20" s="802"/>
    </row>
    <row r="21" spans="1:18" s="125" customFormat="1" ht="17.75" customHeight="1">
      <c r="A21" s="487" t="str">
        <f>A36</f>
        <v>1</v>
      </c>
      <c r="B21" s="161"/>
      <c r="C21" s="162" t="str">
        <f>C36</f>
        <v>Bourací práce</v>
      </c>
      <c r="D21" s="164"/>
      <c r="E21" s="164"/>
      <c r="F21" s="165"/>
      <c r="G21" s="395">
        <f>G139</f>
        <v>0</v>
      </c>
      <c r="H21" s="483"/>
      <c r="I21" s="483"/>
      <c r="J21" s="122"/>
      <c r="K21" s="483"/>
      <c r="L21" s="483"/>
      <c r="O21" s="792"/>
      <c r="P21" s="801"/>
      <c r="Q21" s="801"/>
      <c r="R21" s="802"/>
    </row>
    <row r="22" spans="1:18" s="125" customFormat="1" ht="17.75" customHeight="1">
      <c r="A22" s="742" t="str">
        <f>A141</f>
        <v>2</v>
      </c>
      <c r="B22" s="743"/>
      <c r="C22" s="744" t="str">
        <f>C141</f>
        <v>Zakládání</v>
      </c>
      <c r="D22" s="745"/>
      <c r="E22" s="745"/>
      <c r="F22" s="746"/>
      <c r="G22" s="747">
        <f>G154</f>
        <v>0</v>
      </c>
      <c r="H22" s="483"/>
      <c r="I22" s="483"/>
      <c r="J22" s="122"/>
      <c r="K22" s="483"/>
      <c r="L22" s="483"/>
      <c r="O22" s="792"/>
      <c r="P22" s="801"/>
      <c r="Q22" s="801"/>
      <c r="R22" s="802"/>
    </row>
    <row r="23" spans="1:18" s="125" customFormat="1" ht="17.75" customHeight="1">
      <c r="A23" s="487" t="str">
        <f>A156</f>
        <v>3</v>
      </c>
      <c r="B23" s="161"/>
      <c r="C23" s="162" t="str">
        <f>C156</f>
        <v>Svislé a kompletní konstrukce</v>
      </c>
      <c r="D23" s="164"/>
      <c r="E23" s="164"/>
      <c r="F23" s="165"/>
      <c r="G23" s="395">
        <f>G184</f>
        <v>0</v>
      </c>
      <c r="H23" s="483"/>
      <c r="I23" s="483"/>
      <c r="J23" s="122"/>
      <c r="K23" s="483"/>
      <c r="L23" s="483"/>
      <c r="O23" s="792"/>
      <c r="P23" s="801"/>
      <c r="Q23" s="801"/>
      <c r="R23" s="802"/>
    </row>
    <row r="24" spans="1:18" s="125" customFormat="1" ht="17.75" customHeight="1">
      <c r="A24" s="742" t="str">
        <f>A186</f>
        <v>4</v>
      </c>
      <c r="B24" s="743"/>
      <c r="C24" s="744" t="str">
        <f>C186</f>
        <v>Vodorovné konstrukce</v>
      </c>
      <c r="D24" s="745"/>
      <c r="E24" s="745"/>
      <c r="F24" s="746"/>
      <c r="G24" s="747">
        <f>G194</f>
        <v>0</v>
      </c>
      <c r="H24" s="483"/>
      <c r="I24" s="483"/>
      <c r="J24" s="122"/>
      <c r="K24" s="483"/>
      <c r="L24" s="483"/>
      <c r="O24" s="792"/>
      <c r="P24" s="801"/>
      <c r="Q24" s="801"/>
      <c r="R24" s="802"/>
    </row>
    <row r="25" spans="1:18" s="125" customFormat="1" ht="17.75" customHeight="1">
      <c r="A25" s="487" t="str">
        <f>A196</f>
        <v>5</v>
      </c>
      <c r="B25" s="161"/>
      <c r="C25" s="162" t="str">
        <f>C196</f>
        <v xml:space="preserve">Úpravy povrchů, stěny, stropy, podlahy </v>
      </c>
      <c r="D25" s="164"/>
      <c r="E25" s="164"/>
      <c r="F25" s="165"/>
      <c r="G25" s="395">
        <f>G304</f>
        <v>0</v>
      </c>
      <c r="H25" s="483"/>
      <c r="I25" s="483"/>
      <c r="J25" s="122"/>
      <c r="K25" s="483"/>
      <c r="L25" s="483"/>
      <c r="O25" s="792"/>
      <c r="P25" s="801"/>
      <c r="Q25" s="801"/>
      <c r="R25" s="802"/>
    </row>
    <row r="26" spans="1:18" s="125" customFormat="1" ht="17.75" customHeight="1">
      <c r="A26" s="487" t="str">
        <f>A306</f>
        <v>6</v>
      </c>
      <c r="B26" s="161"/>
      <c r="C26" s="162" t="str">
        <f>C306</f>
        <v>Osazování výplní</v>
      </c>
      <c r="D26" s="164"/>
      <c r="E26" s="164"/>
      <c r="F26" s="165"/>
      <c r="G26" s="395">
        <f>G338</f>
        <v>0</v>
      </c>
      <c r="H26" s="483"/>
      <c r="I26" s="483"/>
      <c r="J26" s="122"/>
      <c r="K26" s="483"/>
      <c r="L26" s="483"/>
      <c r="O26" s="792"/>
      <c r="P26" s="801"/>
      <c r="Q26" s="801"/>
      <c r="R26" s="802"/>
    </row>
    <row r="27" spans="1:18" s="125" customFormat="1" ht="17.75" customHeight="1">
      <c r="A27" s="160" t="str">
        <f>A340</f>
        <v>7</v>
      </c>
      <c r="B27" s="161"/>
      <c r="C27" s="162" t="str">
        <f>C340</f>
        <v>Přesun hmot</v>
      </c>
      <c r="D27" s="164"/>
      <c r="E27" s="164"/>
      <c r="F27" s="165"/>
      <c r="G27" s="395">
        <f>G344</f>
        <v>0</v>
      </c>
      <c r="H27" s="483"/>
      <c r="I27" s="483"/>
      <c r="J27" s="122"/>
      <c r="K27" s="483"/>
      <c r="L27" s="483"/>
      <c r="O27" s="792"/>
      <c r="P27" s="801"/>
      <c r="Q27" s="801"/>
      <c r="R27" s="802"/>
    </row>
    <row r="28" spans="1:18" s="125" customFormat="1" ht="17.75" customHeight="1">
      <c r="A28" s="487" t="str">
        <f>A346</f>
        <v>8</v>
      </c>
      <c r="B28" s="161"/>
      <c r="C28" s="162" t="str">
        <f>C346</f>
        <v>Podlahy z dlaždic</v>
      </c>
      <c r="D28" s="164"/>
      <c r="E28" s="164"/>
      <c r="F28" s="165"/>
      <c r="G28" s="395">
        <f>G364</f>
        <v>0</v>
      </c>
      <c r="H28" s="483"/>
      <c r="I28" s="483"/>
      <c r="J28" s="122"/>
      <c r="K28" s="483"/>
      <c r="L28" s="483"/>
      <c r="O28" s="792"/>
      <c r="P28" s="801"/>
      <c r="Q28" s="801"/>
      <c r="R28" s="802"/>
    </row>
    <row r="29" spans="1:18" s="125" customFormat="1" ht="17.75" customHeight="1">
      <c r="A29" s="742" t="str">
        <f>A366</f>
        <v>9</v>
      </c>
      <c r="B29" s="743"/>
      <c r="C29" s="744" t="str">
        <f>C366</f>
        <v>Podlahy povlakové</v>
      </c>
      <c r="D29" s="745"/>
      <c r="E29" s="745"/>
      <c r="F29" s="746"/>
      <c r="G29" s="747">
        <f>G376</f>
        <v>0</v>
      </c>
      <c r="H29" s="483"/>
      <c r="I29" s="483"/>
      <c r="J29" s="122"/>
      <c r="K29" s="483"/>
      <c r="L29" s="483"/>
      <c r="O29" s="792"/>
      <c r="P29" s="801"/>
      <c r="Q29" s="801"/>
      <c r="R29" s="802"/>
    </row>
    <row r="30" spans="1:18" s="125" customFormat="1" ht="17.75" customHeight="1">
      <c r="A30" s="742" t="str">
        <f>A378</f>
        <v>10</v>
      </c>
      <c r="B30" s="743"/>
      <c r="C30" s="744" t="str">
        <f>C378</f>
        <v>Dokončovací práce - obklady</v>
      </c>
      <c r="D30" s="745"/>
      <c r="E30" s="745"/>
      <c r="F30" s="746"/>
      <c r="G30" s="747">
        <f>G388</f>
        <v>0</v>
      </c>
      <c r="H30" s="483"/>
      <c r="I30" s="483"/>
      <c r="J30" s="122"/>
      <c r="K30" s="483"/>
      <c r="L30" s="483"/>
      <c r="O30" s="792"/>
      <c r="P30" s="801"/>
      <c r="Q30" s="801"/>
      <c r="R30" s="802"/>
    </row>
    <row r="31" spans="1:18" s="125" customFormat="1" ht="17.75" customHeight="1">
      <c r="A31" s="487" t="str">
        <f>A390</f>
        <v>11</v>
      </c>
      <c r="B31" s="161"/>
      <c r="C31" s="162" t="str">
        <f>C390</f>
        <v>Dokončovací práce - malby</v>
      </c>
      <c r="D31" s="164"/>
      <c r="E31" s="164"/>
      <c r="F31" s="165"/>
      <c r="G31" s="395">
        <f>G417</f>
        <v>0</v>
      </c>
      <c r="H31" s="483"/>
      <c r="I31" s="483"/>
      <c r="J31" s="122"/>
      <c r="K31" s="483"/>
      <c r="L31" s="483"/>
      <c r="O31" s="792"/>
      <c r="P31" s="801"/>
      <c r="Q31" s="801"/>
      <c r="R31" s="802"/>
    </row>
    <row r="32" spans="1:18" s="125" customFormat="1" ht="17.75" customHeight="1">
      <c r="A32" s="487" t="str">
        <f>A419</f>
        <v>12</v>
      </c>
      <c r="B32" s="161"/>
      <c r="C32" s="162" t="str">
        <f>C419</f>
        <v>Ostatní  práce a dodávky</v>
      </c>
      <c r="D32" s="164"/>
      <c r="E32" s="164"/>
      <c r="F32" s="165"/>
      <c r="G32" s="395">
        <f>G445</f>
        <v>0</v>
      </c>
      <c r="H32" s="483"/>
      <c r="I32" s="483"/>
      <c r="J32" s="122"/>
      <c r="K32" s="483"/>
      <c r="L32" s="483"/>
      <c r="O32" s="792"/>
      <c r="P32" s="801"/>
      <c r="Q32" s="801"/>
      <c r="R32" s="802"/>
    </row>
    <row r="33" spans="1:7" ht="13" thickBot="1">
      <c r="A33" s="160"/>
      <c r="B33" s="153"/>
      <c r="C33" s="167"/>
      <c r="D33" s="153"/>
      <c r="E33" s="168"/>
      <c r="F33" s="156"/>
      <c r="G33" s="395"/>
    </row>
    <row r="34" spans="1:7" ht="28.5" customHeight="1" thickBot="1">
      <c r="A34" s="170"/>
      <c r="B34" s="171"/>
      <c r="C34" s="172" t="s">
        <v>38</v>
      </c>
      <c r="D34" s="175"/>
      <c r="E34" s="174"/>
      <c r="F34" s="175"/>
      <c r="G34" s="176">
        <f>SUM(G21:G32)</f>
        <v>0</v>
      </c>
    </row>
    <row r="35" spans="1:7" ht="13" thickBot="1">
      <c r="A35" s="179"/>
      <c r="B35" s="180"/>
      <c r="C35" s="180"/>
      <c r="D35" s="180"/>
      <c r="E35" s="180"/>
      <c r="F35" s="180"/>
      <c r="G35" s="396"/>
    </row>
    <row r="36" spans="1:18" s="125" customFormat="1" ht="18" customHeight="1" thickBot="1">
      <c r="A36" s="182" t="s">
        <v>43</v>
      </c>
      <c r="B36" s="183"/>
      <c r="C36" s="184" t="s">
        <v>339</v>
      </c>
      <c r="D36" s="397"/>
      <c r="E36" s="398"/>
      <c r="F36" s="187"/>
      <c r="G36" s="399"/>
      <c r="H36" s="483"/>
      <c r="I36" s="483"/>
      <c r="J36" s="122"/>
      <c r="K36" s="483"/>
      <c r="L36" s="483"/>
      <c r="O36" s="792"/>
      <c r="P36" s="801"/>
      <c r="Q36" s="801"/>
      <c r="R36" s="802"/>
    </row>
    <row r="37" spans="1:18" s="125" customFormat="1" ht="12.75" customHeight="1">
      <c r="A37" s="189"/>
      <c r="B37" s="400"/>
      <c r="C37" s="232"/>
      <c r="D37" s="233"/>
      <c r="E37" s="401"/>
      <c r="F37" s="402"/>
      <c r="G37" s="403"/>
      <c r="H37" s="483"/>
      <c r="I37" s="483"/>
      <c r="J37" s="122"/>
      <c r="K37" s="483"/>
      <c r="L37" s="483"/>
      <c r="O37" s="792"/>
      <c r="P37" s="801"/>
      <c r="Q37" s="801"/>
      <c r="R37" s="802"/>
    </row>
    <row r="38" spans="1:20" s="267" customFormat="1" ht="22.5" customHeight="1">
      <c r="A38" s="262"/>
      <c r="B38" s="253"/>
      <c r="C38" s="254" t="s">
        <v>1030</v>
      </c>
      <c r="D38" s="253"/>
      <c r="E38" s="256"/>
      <c r="F38" s="256"/>
      <c r="G38" s="460"/>
      <c r="H38" s="264"/>
      <c r="I38" s="264"/>
      <c r="J38" s="264"/>
      <c r="K38" s="264"/>
      <c r="L38" s="264"/>
      <c r="M38" s="264"/>
      <c r="N38" s="265"/>
      <c r="O38" s="794"/>
      <c r="P38" s="806"/>
      <c r="Q38" s="806"/>
      <c r="R38" s="833"/>
      <c r="S38" s="266"/>
      <c r="T38" s="266"/>
    </row>
    <row r="39" spans="1:20" s="510" customFormat="1" ht="23.25" customHeight="1">
      <c r="A39" s="196" t="s">
        <v>45</v>
      </c>
      <c r="B39" s="663" t="s">
        <v>1379</v>
      </c>
      <c r="C39" s="700" t="s">
        <v>1380</v>
      </c>
      <c r="D39" s="198" t="s">
        <v>1381</v>
      </c>
      <c r="E39" s="199">
        <v>4</v>
      </c>
      <c r="F39" s="199"/>
      <c r="G39" s="200">
        <f aca="true" t="shared" si="0" ref="G39:G45">E39*F39</f>
        <v>0</v>
      </c>
      <c r="H39" s="201">
        <v>0</v>
      </c>
      <c r="I39" s="201">
        <f>E39*H39</f>
        <v>0</v>
      </c>
      <c r="J39" s="701">
        <v>0.01933</v>
      </c>
      <c r="K39" s="673">
        <f>E39*J39</f>
        <v>0.07732</v>
      </c>
      <c r="L39" s="702"/>
      <c r="M39" s="701"/>
      <c r="N39" s="703"/>
      <c r="O39" s="834"/>
      <c r="P39" s="835"/>
      <c r="Q39" s="835"/>
      <c r="R39" s="836"/>
      <c r="S39" s="704"/>
      <c r="T39" s="704"/>
    </row>
    <row r="40" spans="1:20" s="510" customFormat="1" ht="23.25" customHeight="1">
      <c r="A40" s="196" t="s">
        <v>47</v>
      </c>
      <c r="B40" s="663" t="s">
        <v>1384</v>
      </c>
      <c r="C40" s="700" t="s">
        <v>1385</v>
      </c>
      <c r="D40" s="198" t="s">
        <v>1381</v>
      </c>
      <c r="E40" s="199">
        <v>6</v>
      </c>
      <c r="F40" s="199"/>
      <c r="G40" s="200">
        <f t="shared" si="0"/>
        <v>0</v>
      </c>
      <c r="H40" s="201">
        <v>0</v>
      </c>
      <c r="I40" s="201">
        <f>E40*H40</f>
        <v>0</v>
      </c>
      <c r="J40" s="701">
        <v>0.01946</v>
      </c>
      <c r="K40" s="673">
        <f>E40*J40</f>
        <v>0.11676</v>
      </c>
      <c r="L40" s="702"/>
      <c r="M40" s="701"/>
      <c r="N40" s="703"/>
      <c r="O40" s="834"/>
      <c r="P40" s="835"/>
      <c r="Q40" s="835"/>
      <c r="R40" s="836"/>
      <c r="S40" s="704"/>
      <c r="T40" s="704"/>
    </row>
    <row r="41" spans="1:20" s="510" customFormat="1" ht="23.25" customHeight="1">
      <c r="A41" s="196" t="s">
        <v>50</v>
      </c>
      <c r="B41" s="778" t="s">
        <v>1748</v>
      </c>
      <c r="C41" s="823" t="s">
        <v>1749</v>
      </c>
      <c r="D41" s="783" t="s">
        <v>1381</v>
      </c>
      <c r="E41" s="739">
        <v>2</v>
      </c>
      <c r="F41" s="739"/>
      <c r="G41" s="200">
        <f t="shared" si="0"/>
        <v>0</v>
      </c>
      <c r="H41" s="201">
        <v>0</v>
      </c>
      <c r="I41" s="201">
        <f>E41*H41</f>
        <v>0</v>
      </c>
      <c r="J41" s="701">
        <v>0.0066</v>
      </c>
      <c r="K41" s="673">
        <f>E41*J41</f>
        <v>0.0132</v>
      </c>
      <c r="L41" s="702"/>
      <c r="M41" s="701"/>
      <c r="N41" s="703"/>
      <c r="O41" s="834"/>
      <c r="P41" s="835"/>
      <c r="Q41" s="835"/>
      <c r="R41" s="836"/>
      <c r="S41" s="704"/>
      <c r="T41" s="704"/>
    </row>
    <row r="42" spans="1:20" s="510" customFormat="1" ht="23.25" customHeight="1">
      <c r="A42" s="196" t="s">
        <v>53</v>
      </c>
      <c r="B42" s="778" t="s">
        <v>1750</v>
      </c>
      <c r="C42" s="823" t="s">
        <v>1751</v>
      </c>
      <c r="D42" s="783" t="s">
        <v>1381</v>
      </c>
      <c r="E42" s="739">
        <v>2</v>
      </c>
      <c r="F42" s="739"/>
      <c r="G42" s="200">
        <f t="shared" si="0"/>
        <v>0</v>
      </c>
      <c r="H42" s="201">
        <v>0</v>
      </c>
      <c r="I42" s="201">
        <f>E42*H42</f>
        <v>0</v>
      </c>
      <c r="J42" s="701">
        <v>0.0245</v>
      </c>
      <c r="K42" s="673">
        <f>E42*J42</f>
        <v>0.049</v>
      </c>
      <c r="L42" s="702"/>
      <c r="M42" s="701"/>
      <c r="N42" s="703"/>
      <c r="O42" s="834"/>
      <c r="P42" s="835"/>
      <c r="Q42" s="835"/>
      <c r="R42" s="836"/>
      <c r="S42" s="704"/>
      <c r="T42" s="704"/>
    </row>
    <row r="43" spans="1:20" s="510" customFormat="1" ht="23.25" customHeight="1">
      <c r="A43" s="196" t="s">
        <v>56</v>
      </c>
      <c r="B43" s="778" t="s">
        <v>1752</v>
      </c>
      <c r="C43" s="823" t="s">
        <v>1753</v>
      </c>
      <c r="D43" s="783" t="s">
        <v>1381</v>
      </c>
      <c r="E43" s="739">
        <v>1</v>
      </c>
      <c r="F43" s="739"/>
      <c r="G43" s="200">
        <f t="shared" si="0"/>
        <v>0</v>
      </c>
      <c r="H43" s="201">
        <v>0</v>
      </c>
      <c r="I43" s="201">
        <f>E43*H43</f>
        <v>0</v>
      </c>
      <c r="J43" s="701">
        <v>0.0188</v>
      </c>
      <c r="K43" s="673">
        <f>E43*J43</f>
        <v>0.0188</v>
      </c>
      <c r="L43" s="702"/>
      <c r="M43" s="701"/>
      <c r="N43" s="703"/>
      <c r="O43" s="834"/>
      <c r="P43" s="835"/>
      <c r="Q43" s="835"/>
      <c r="R43" s="836"/>
      <c r="S43" s="704"/>
      <c r="T43" s="704"/>
    </row>
    <row r="44" spans="1:20" s="510" customFormat="1" ht="18" customHeight="1">
      <c r="A44" s="196" t="s">
        <v>58</v>
      </c>
      <c r="B44" s="663" t="s">
        <v>1456</v>
      </c>
      <c r="C44" s="700" t="s">
        <v>1457</v>
      </c>
      <c r="D44" s="198" t="s">
        <v>1381</v>
      </c>
      <c r="E44" s="199">
        <v>1</v>
      </c>
      <c r="F44" s="199"/>
      <c r="G44" s="200">
        <f t="shared" si="0"/>
        <v>0</v>
      </c>
      <c r="H44" s="701"/>
      <c r="I44" s="701"/>
      <c r="J44" s="701"/>
      <c r="K44" s="702"/>
      <c r="L44" s="702"/>
      <c r="M44" s="701"/>
      <c r="N44" s="703"/>
      <c r="O44" s="834"/>
      <c r="P44" s="835"/>
      <c r="Q44" s="835"/>
      <c r="R44" s="836"/>
      <c r="S44" s="704"/>
      <c r="T44" s="704"/>
    </row>
    <row r="45" spans="1:20" s="204" customFormat="1" ht="19.5" customHeight="1">
      <c r="A45" s="196" t="s">
        <v>61</v>
      </c>
      <c r="B45" s="197">
        <v>766691914</v>
      </c>
      <c r="C45" s="136" t="s">
        <v>1393</v>
      </c>
      <c r="D45" s="198" t="s">
        <v>175</v>
      </c>
      <c r="E45" s="199">
        <v>14</v>
      </c>
      <c r="F45" s="199"/>
      <c r="G45" s="200">
        <f t="shared" si="0"/>
        <v>0</v>
      </c>
      <c r="H45" s="201">
        <v>0</v>
      </c>
      <c r="I45" s="201">
        <f>E45*H45</f>
        <v>0</v>
      </c>
      <c r="J45" s="85">
        <v>0.024</v>
      </c>
      <c r="K45" s="673">
        <f>E45*J45</f>
        <v>0.336</v>
      </c>
      <c r="L45" s="673"/>
      <c r="M45" s="85"/>
      <c r="N45" s="202"/>
      <c r="O45" s="794"/>
      <c r="P45" s="806"/>
      <c r="Q45" s="806"/>
      <c r="R45" s="808"/>
      <c r="S45" s="203"/>
      <c r="T45" s="203"/>
    </row>
    <row r="46" spans="1:20" s="204" customFormat="1" ht="11.25" customHeight="1">
      <c r="A46" s="671"/>
      <c r="B46" s="672"/>
      <c r="C46" s="667"/>
      <c r="D46" s="668"/>
      <c r="E46" s="669"/>
      <c r="F46" s="669"/>
      <c r="G46" s="670"/>
      <c r="H46" s="201"/>
      <c r="I46" s="201"/>
      <c r="J46" s="85"/>
      <c r="K46" s="673"/>
      <c r="L46" s="673"/>
      <c r="M46" s="85"/>
      <c r="N46" s="202"/>
      <c r="O46" s="794"/>
      <c r="P46" s="806"/>
      <c r="Q46" s="806"/>
      <c r="R46" s="808"/>
      <c r="S46" s="203"/>
      <c r="T46" s="203"/>
    </row>
    <row r="47" spans="1:20" s="204" customFormat="1" ht="23.25" customHeight="1">
      <c r="A47" s="196" t="s">
        <v>63</v>
      </c>
      <c r="B47" s="197" t="s">
        <v>1376</v>
      </c>
      <c r="C47" s="136" t="s">
        <v>1377</v>
      </c>
      <c r="D47" s="198" t="s">
        <v>46</v>
      </c>
      <c r="E47" s="199">
        <f>SUM(D48)</f>
        <v>54.196000000000005</v>
      </c>
      <c r="F47" s="199"/>
      <c r="G47" s="200">
        <f>E47*F47</f>
        <v>0</v>
      </c>
      <c r="H47" s="201">
        <v>0</v>
      </c>
      <c r="I47" s="201">
        <f>E47*H47</f>
        <v>0</v>
      </c>
      <c r="J47" s="85">
        <v>0.131</v>
      </c>
      <c r="K47" s="673">
        <f>E47*J47</f>
        <v>7.0996760000000005</v>
      </c>
      <c r="L47" s="673"/>
      <c r="M47" s="85"/>
      <c r="N47" s="202"/>
      <c r="O47" s="794"/>
      <c r="P47" s="806"/>
      <c r="Q47" s="806"/>
      <c r="R47" s="808"/>
      <c r="S47" s="203"/>
      <c r="T47" s="203"/>
    </row>
    <row r="48" spans="1:20" s="214" customFormat="1" ht="30" customHeight="1">
      <c r="A48" s="196"/>
      <c r="B48" s="205"/>
      <c r="C48" s="206" t="s">
        <v>1755</v>
      </c>
      <c r="D48" s="207">
        <f>(2.1+3.1+2.7+2.8+1.6+2.45+3.3+2.7+2)*2.7-0.6*1.97*1-0.7*1.97*1-0.8*1.97*3+0.06</f>
        <v>54.196000000000005</v>
      </c>
      <c r="E48" s="208"/>
      <c r="F48" s="208"/>
      <c r="G48" s="209"/>
      <c r="H48" s="210"/>
      <c r="I48" s="210"/>
      <c r="J48" s="211"/>
      <c r="K48" s="673"/>
      <c r="L48" s="705"/>
      <c r="M48" s="211"/>
      <c r="N48" s="212"/>
      <c r="O48" s="794"/>
      <c r="P48" s="806"/>
      <c r="Q48" s="806"/>
      <c r="R48" s="807"/>
      <c r="S48" s="213"/>
      <c r="T48" s="213"/>
    </row>
    <row r="49" spans="1:20" s="204" customFormat="1" ht="23.25" customHeight="1">
      <c r="A49" s="196" t="s">
        <v>64</v>
      </c>
      <c r="B49" s="197">
        <v>968072455</v>
      </c>
      <c r="C49" s="136" t="s">
        <v>1089</v>
      </c>
      <c r="D49" s="198" t="s">
        <v>46</v>
      </c>
      <c r="E49" s="199">
        <f>SUM(D50)</f>
        <v>16.598000000000003</v>
      </c>
      <c r="F49" s="199"/>
      <c r="G49" s="200">
        <f>E49*F49</f>
        <v>0</v>
      </c>
      <c r="H49" s="201">
        <v>0</v>
      </c>
      <c r="I49" s="201">
        <f>E49*H49</f>
        <v>0</v>
      </c>
      <c r="J49" s="85">
        <v>0.076</v>
      </c>
      <c r="K49" s="673">
        <f>E49*J49</f>
        <v>1.2614480000000001</v>
      </c>
      <c r="L49" s="673"/>
      <c r="M49" s="85"/>
      <c r="N49" s="202"/>
      <c r="O49" s="794"/>
      <c r="P49" s="806"/>
      <c r="Q49" s="806"/>
      <c r="R49" s="808"/>
      <c r="S49" s="203"/>
      <c r="T49" s="203"/>
    </row>
    <row r="50" spans="1:20" s="214" customFormat="1" ht="15" customHeight="1">
      <c r="A50" s="196"/>
      <c r="B50" s="706"/>
      <c r="C50" s="707" t="s">
        <v>1754</v>
      </c>
      <c r="D50" s="708">
        <f>0.6*1.97*2+0.7*1.97*1+0.8*1.97*7+0.9*1.97*1+0.05</f>
        <v>16.598000000000003</v>
      </c>
      <c r="E50" s="709"/>
      <c r="F50" s="709"/>
      <c r="G50" s="710"/>
      <c r="H50" s="210"/>
      <c r="I50" s="210"/>
      <c r="J50" s="211"/>
      <c r="K50" s="673"/>
      <c r="L50" s="705"/>
      <c r="M50" s="211"/>
      <c r="N50" s="212"/>
      <c r="O50" s="794"/>
      <c r="P50" s="806"/>
      <c r="Q50" s="806"/>
      <c r="R50" s="807"/>
      <c r="S50" s="213"/>
      <c r="T50" s="213"/>
    </row>
    <row r="51" spans="1:20" s="204" customFormat="1" ht="19.5" customHeight="1">
      <c r="A51" s="196" t="s">
        <v>66</v>
      </c>
      <c r="B51" s="197" t="s">
        <v>1373</v>
      </c>
      <c r="C51" s="136" t="s">
        <v>1374</v>
      </c>
      <c r="D51" s="198" t="s">
        <v>52</v>
      </c>
      <c r="E51" s="199">
        <f>SUM(D52)</f>
        <v>8.396749999999999</v>
      </c>
      <c r="F51" s="199"/>
      <c r="G51" s="200">
        <f>E51*F51</f>
        <v>0</v>
      </c>
      <c r="H51" s="201">
        <v>0</v>
      </c>
      <c r="I51" s="201">
        <f>E51*H51</f>
        <v>0</v>
      </c>
      <c r="J51" s="85">
        <v>1.8</v>
      </c>
      <c r="K51" s="673">
        <f>E51*J51</f>
        <v>15.114149999999999</v>
      </c>
      <c r="L51" s="673"/>
      <c r="M51" s="85"/>
      <c r="N51" s="202"/>
      <c r="O51" s="794"/>
      <c r="P51" s="806"/>
      <c r="Q51" s="806"/>
      <c r="R51" s="808"/>
      <c r="S51" s="203"/>
      <c r="T51" s="203"/>
    </row>
    <row r="52" spans="1:20" s="214" customFormat="1" ht="33.75" customHeight="1">
      <c r="A52" s="196"/>
      <c r="B52" s="205"/>
      <c r="C52" s="206" t="s">
        <v>2430</v>
      </c>
      <c r="D52" s="207">
        <f>1.88*2*0.5+1*2*0.4+0.8*3.3*0.4+1.7*2.8*0.3+0.55*0.25*0.6+0.8*2.2*2*0.6+0.55*0.25*0.46+2.6*0.375</f>
        <v>8.396749999999999</v>
      </c>
      <c r="E52" s="208"/>
      <c r="F52" s="208"/>
      <c r="G52" s="209"/>
      <c r="H52" s="210"/>
      <c r="I52" s="210"/>
      <c r="J52" s="211"/>
      <c r="K52" s="673"/>
      <c r="L52" s="705"/>
      <c r="M52" s="211"/>
      <c r="N52" s="212"/>
      <c r="O52" s="794"/>
      <c r="P52" s="806"/>
      <c r="Q52" s="806"/>
      <c r="R52" s="807"/>
      <c r="S52" s="213"/>
      <c r="T52" s="213"/>
    </row>
    <row r="53" spans="1:20" s="204" customFormat="1" ht="19.5" customHeight="1">
      <c r="A53" s="196" t="s">
        <v>70</v>
      </c>
      <c r="B53" s="197" t="s">
        <v>65</v>
      </c>
      <c r="C53" s="136" t="s">
        <v>1390</v>
      </c>
      <c r="D53" s="198" t="s">
        <v>46</v>
      </c>
      <c r="E53" s="199">
        <f>SUM(D54)</f>
        <v>64</v>
      </c>
      <c r="F53" s="199"/>
      <c r="G53" s="200">
        <f>E53*F53</f>
        <v>0</v>
      </c>
      <c r="H53" s="201">
        <v>0</v>
      </c>
      <c r="I53" s="201">
        <f>E53*H53</f>
        <v>0</v>
      </c>
      <c r="J53" s="85">
        <v>0.068</v>
      </c>
      <c r="K53" s="673">
        <f>E53*J53</f>
        <v>4.352</v>
      </c>
      <c r="L53" s="673"/>
      <c r="M53" s="85"/>
      <c r="N53" s="202"/>
      <c r="O53" s="794"/>
      <c r="P53" s="806"/>
      <c r="Q53" s="806"/>
      <c r="R53" s="808"/>
      <c r="S53" s="203"/>
      <c r="T53" s="203"/>
    </row>
    <row r="54" spans="1:20" s="214" customFormat="1" ht="15" customHeight="1">
      <c r="A54" s="196"/>
      <c r="B54" s="205" t="s">
        <v>1458</v>
      </c>
      <c r="C54" s="206" t="s">
        <v>1756</v>
      </c>
      <c r="D54" s="207">
        <f>(8.9+7*2+1.5+7.6)*2</f>
        <v>64</v>
      </c>
      <c r="E54" s="208"/>
      <c r="F54" s="208"/>
      <c r="G54" s="209"/>
      <c r="H54" s="210"/>
      <c r="I54" s="210"/>
      <c r="J54" s="211"/>
      <c r="K54" s="673"/>
      <c r="L54" s="705"/>
      <c r="M54" s="211"/>
      <c r="N54" s="212"/>
      <c r="O54" s="794"/>
      <c r="P54" s="806"/>
      <c r="Q54" s="806"/>
      <c r="R54" s="807"/>
      <c r="S54" s="213"/>
      <c r="T54" s="213"/>
    </row>
    <row r="55" spans="1:20" s="204" customFormat="1" ht="29.25" customHeight="1">
      <c r="A55" s="196" t="s">
        <v>74</v>
      </c>
      <c r="B55" s="197" t="s">
        <v>67</v>
      </c>
      <c r="C55" s="136" t="s">
        <v>1389</v>
      </c>
      <c r="D55" s="198" t="s">
        <v>46</v>
      </c>
      <c r="E55" s="199">
        <f>SUM(D56)</f>
        <v>238.59599999999998</v>
      </c>
      <c r="F55" s="199"/>
      <c r="G55" s="200">
        <f>E55*F55</f>
        <v>0</v>
      </c>
      <c r="H55" s="201">
        <v>0</v>
      </c>
      <c r="I55" s="201">
        <f>E55*H55</f>
        <v>0</v>
      </c>
      <c r="J55" s="85">
        <v>0.046</v>
      </c>
      <c r="K55" s="673">
        <f>E55*J55</f>
        <v>10.975416</v>
      </c>
      <c r="L55" s="673"/>
      <c r="M55" s="85"/>
      <c r="N55" s="202"/>
      <c r="O55" s="794"/>
      <c r="P55" s="806"/>
      <c r="Q55" s="806"/>
      <c r="R55" s="808"/>
      <c r="S55" s="203"/>
      <c r="T55" s="203"/>
    </row>
    <row r="56" spans="1:20" s="214" customFormat="1" ht="15" customHeight="1">
      <c r="A56" s="196"/>
      <c r="B56" s="205"/>
      <c r="C56" s="206" t="s">
        <v>1760</v>
      </c>
      <c r="D56" s="207">
        <f>(33.2+9.2*2+25.1+9.8+3.6+4.1)*2.6-0.8*1.97*4-0.02</f>
        <v>238.59599999999998</v>
      </c>
      <c r="E56" s="208"/>
      <c r="F56" s="208"/>
      <c r="G56" s="209"/>
      <c r="H56" s="210"/>
      <c r="I56" s="210"/>
      <c r="J56" s="211"/>
      <c r="K56" s="673"/>
      <c r="L56" s="705"/>
      <c r="M56" s="211"/>
      <c r="N56" s="212"/>
      <c r="O56" s="794"/>
      <c r="P56" s="806"/>
      <c r="Q56" s="806"/>
      <c r="R56" s="807"/>
      <c r="S56" s="213"/>
      <c r="T56" s="213"/>
    </row>
    <row r="57" spans="1:20" s="204" customFormat="1" ht="29.25" customHeight="1">
      <c r="A57" s="196" t="s">
        <v>77</v>
      </c>
      <c r="B57" s="197">
        <v>978013141</v>
      </c>
      <c r="C57" s="136" t="s">
        <v>1525</v>
      </c>
      <c r="D57" s="198" t="s">
        <v>46</v>
      </c>
      <c r="E57" s="199">
        <f>SUM(D58)</f>
        <v>112.99999999999997</v>
      </c>
      <c r="F57" s="199"/>
      <c r="G57" s="200">
        <f>E57*F57</f>
        <v>0</v>
      </c>
      <c r="H57" s="201">
        <v>0</v>
      </c>
      <c r="I57" s="201">
        <f>E57*H57</f>
        <v>0</v>
      </c>
      <c r="J57" s="85">
        <v>0.01</v>
      </c>
      <c r="K57" s="673">
        <f>E57*J57</f>
        <v>1.1299999999999997</v>
      </c>
      <c r="L57" s="673"/>
      <c r="M57" s="85"/>
      <c r="N57" s="202"/>
      <c r="O57" s="794"/>
      <c r="P57" s="806"/>
      <c r="Q57" s="806"/>
      <c r="R57" s="808"/>
      <c r="S57" s="203"/>
      <c r="T57" s="203"/>
    </row>
    <row r="58" spans="1:20" s="214" customFormat="1" ht="15" customHeight="1">
      <c r="A58" s="196"/>
      <c r="B58" s="205"/>
      <c r="C58" s="206" t="s">
        <v>1761</v>
      </c>
      <c r="D58" s="207">
        <f>(33.2+9.2*2+25.1+9.8+3.6+4.1)*1.2-0.04</f>
        <v>112.99999999999997</v>
      </c>
      <c r="E58" s="208"/>
      <c r="F58" s="208"/>
      <c r="G58" s="209"/>
      <c r="H58" s="210"/>
      <c r="I58" s="210"/>
      <c r="J58" s="211"/>
      <c r="K58" s="673"/>
      <c r="L58" s="705"/>
      <c r="M58" s="211"/>
      <c r="N58" s="212"/>
      <c r="O58" s="794"/>
      <c r="P58" s="806"/>
      <c r="Q58" s="806"/>
      <c r="R58" s="807"/>
      <c r="S58" s="213"/>
      <c r="T58" s="213"/>
    </row>
    <row r="59" spans="1:20" s="204" customFormat="1" ht="30" customHeight="1">
      <c r="A59" s="196" t="s">
        <v>80</v>
      </c>
      <c r="B59" s="672">
        <v>978011141</v>
      </c>
      <c r="C59" s="667" t="s">
        <v>1530</v>
      </c>
      <c r="D59" s="668" t="s">
        <v>46</v>
      </c>
      <c r="E59" s="669">
        <f>SUM(D60)</f>
        <v>84.9</v>
      </c>
      <c r="F59" s="669"/>
      <c r="G59" s="200">
        <f>E59*F59</f>
        <v>0</v>
      </c>
      <c r="H59" s="201">
        <v>0</v>
      </c>
      <c r="I59" s="201">
        <f>E59*H59</f>
        <v>0</v>
      </c>
      <c r="J59" s="85">
        <v>0.01</v>
      </c>
      <c r="K59" s="673">
        <f>E59*J59</f>
        <v>0.8490000000000001</v>
      </c>
      <c r="L59" s="673"/>
      <c r="M59" s="85"/>
      <c r="N59" s="202"/>
      <c r="O59" s="794"/>
      <c r="P59" s="806"/>
      <c r="Q59" s="806"/>
      <c r="R59" s="808"/>
      <c r="S59" s="203"/>
      <c r="T59" s="203"/>
    </row>
    <row r="60" spans="1:20" s="214" customFormat="1" ht="15" customHeight="1">
      <c r="A60" s="196"/>
      <c r="B60" s="205"/>
      <c r="C60" s="784">
        <v>84.9</v>
      </c>
      <c r="D60" s="207">
        <v>84.9</v>
      </c>
      <c r="E60" s="208"/>
      <c r="F60" s="208"/>
      <c r="G60" s="209"/>
      <c r="H60" s="210"/>
      <c r="I60" s="210"/>
      <c r="J60" s="211"/>
      <c r="K60" s="673"/>
      <c r="L60" s="705"/>
      <c r="M60" s="211"/>
      <c r="N60" s="212"/>
      <c r="O60" s="794"/>
      <c r="P60" s="806"/>
      <c r="Q60" s="806"/>
      <c r="R60" s="807"/>
      <c r="S60" s="213"/>
      <c r="T60" s="213"/>
    </row>
    <row r="61" spans="1:20" s="204" customFormat="1" ht="16.5" customHeight="1">
      <c r="A61" s="671"/>
      <c r="B61" s="672"/>
      <c r="C61" s="667"/>
      <c r="D61" s="668"/>
      <c r="E61" s="669"/>
      <c r="F61" s="669"/>
      <c r="G61" s="670"/>
      <c r="H61" s="201"/>
      <c r="I61" s="201"/>
      <c r="J61" s="85"/>
      <c r="K61" s="673"/>
      <c r="L61" s="673"/>
      <c r="M61" s="85"/>
      <c r="N61" s="202"/>
      <c r="O61" s="794"/>
      <c r="P61" s="806"/>
      <c r="Q61" s="806"/>
      <c r="R61" s="808"/>
      <c r="S61" s="203"/>
      <c r="T61" s="203"/>
    </row>
    <row r="62" spans="1:20" s="204" customFormat="1" ht="29.25" customHeight="1">
      <c r="A62" s="196" t="s">
        <v>82</v>
      </c>
      <c r="B62" s="197">
        <v>965081223</v>
      </c>
      <c r="C62" s="136" t="s">
        <v>1692</v>
      </c>
      <c r="D62" s="198" t="s">
        <v>46</v>
      </c>
      <c r="E62" s="199">
        <f>SUM(D63)</f>
        <v>84.89999999999999</v>
      </c>
      <c r="F62" s="199"/>
      <c r="G62" s="200">
        <f>E62*F62</f>
        <v>0</v>
      </c>
      <c r="H62" s="201">
        <v>0</v>
      </c>
      <c r="I62" s="201">
        <f>E62*H62</f>
        <v>0</v>
      </c>
      <c r="J62" s="85">
        <v>0.057</v>
      </c>
      <c r="K62" s="673">
        <f>E62*J62</f>
        <v>4.8393</v>
      </c>
      <c r="L62" s="673"/>
      <c r="M62" s="85"/>
      <c r="N62" s="202"/>
      <c r="O62" s="794"/>
      <c r="P62" s="806"/>
      <c r="Q62" s="806"/>
      <c r="R62" s="808"/>
      <c r="S62" s="203"/>
      <c r="T62" s="203"/>
    </row>
    <row r="63" spans="1:20" s="214" customFormat="1" ht="15" customHeight="1">
      <c r="A63" s="196"/>
      <c r="B63" s="205"/>
      <c r="C63" s="206" t="s">
        <v>1757</v>
      </c>
      <c r="D63" s="207">
        <f>11.8+24.4+6.9+4.3+19.7+1.2+15.6+1</f>
        <v>84.89999999999999</v>
      </c>
      <c r="E63" s="208"/>
      <c r="F63" s="208"/>
      <c r="G63" s="209"/>
      <c r="H63" s="210"/>
      <c r="I63" s="210"/>
      <c r="J63" s="211"/>
      <c r="K63" s="673"/>
      <c r="L63" s="705"/>
      <c r="M63" s="211"/>
      <c r="N63" s="212"/>
      <c r="O63" s="794"/>
      <c r="P63" s="806"/>
      <c r="Q63" s="806"/>
      <c r="R63" s="807"/>
      <c r="S63" s="213"/>
      <c r="T63" s="213"/>
    </row>
    <row r="64" spans="1:20" s="204" customFormat="1" ht="29.25" customHeight="1">
      <c r="A64" s="196" t="s">
        <v>84</v>
      </c>
      <c r="B64" s="197" t="s">
        <v>48</v>
      </c>
      <c r="C64" s="136" t="s">
        <v>49</v>
      </c>
      <c r="D64" s="198" t="s">
        <v>46</v>
      </c>
      <c r="E64" s="199">
        <f>E62</f>
        <v>84.89999999999999</v>
      </c>
      <c r="F64" s="199"/>
      <c r="G64" s="200">
        <f>E64*F64</f>
        <v>0</v>
      </c>
      <c r="H64" s="201">
        <v>0</v>
      </c>
      <c r="I64" s="201">
        <f>E64*H64</f>
        <v>0</v>
      </c>
      <c r="J64" s="85">
        <v>0.09</v>
      </c>
      <c r="K64" s="673">
        <f>E64*J64</f>
        <v>7.640999999999999</v>
      </c>
      <c r="L64" s="673"/>
      <c r="M64" s="85"/>
      <c r="N64" s="202"/>
      <c r="O64" s="794"/>
      <c r="P64" s="806"/>
      <c r="Q64" s="806"/>
      <c r="R64" s="808"/>
      <c r="S64" s="203"/>
      <c r="T64" s="203"/>
    </row>
    <row r="65" spans="1:20" s="204" customFormat="1" ht="21.75" customHeight="1">
      <c r="A65" s="196" t="s">
        <v>85</v>
      </c>
      <c r="B65" s="197">
        <v>711131811</v>
      </c>
      <c r="C65" s="136" t="s">
        <v>57</v>
      </c>
      <c r="D65" s="198" t="s">
        <v>46</v>
      </c>
      <c r="E65" s="199">
        <f>E62</f>
        <v>84.89999999999999</v>
      </c>
      <c r="F65" s="199"/>
      <c r="G65" s="200">
        <f>E65*F65</f>
        <v>0</v>
      </c>
      <c r="H65" s="201">
        <v>0</v>
      </c>
      <c r="I65" s="201">
        <f>E65*H65</f>
        <v>0</v>
      </c>
      <c r="J65" s="85">
        <v>0.004</v>
      </c>
      <c r="K65" s="673">
        <f>E65*J65</f>
        <v>0.33959999999999996</v>
      </c>
      <c r="L65" s="673"/>
      <c r="M65" s="85"/>
      <c r="N65" s="202"/>
      <c r="O65" s="794"/>
      <c r="P65" s="806"/>
      <c r="Q65" s="806"/>
      <c r="R65" s="808"/>
      <c r="S65" s="203"/>
      <c r="T65" s="203"/>
    </row>
    <row r="66" spans="1:20" s="204" customFormat="1" ht="29.25" customHeight="1">
      <c r="A66" s="196" t="s">
        <v>89</v>
      </c>
      <c r="B66" s="197" t="s">
        <v>51</v>
      </c>
      <c r="C66" s="136" t="s">
        <v>1035</v>
      </c>
      <c r="D66" s="198" t="s">
        <v>52</v>
      </c>
      <c r="E66" s="199">
        <f>SUM(D67)</f>
        <v>6.83</v>
      </c>
      <c r="F66" s="199"/>
      <c r="G66" s="200">
        <f>E66*F66</f>
        <v>0</v>
      </c>
      <c r="H66" s="201">
        <v>0</v>
      </c>
      <c r="I66" s="201">
        <f>E66*H66</f>
        <v>0</v>
      </c>
      <c r="J66" s="85">
        <v>2.2</v>
      </c>
      <c r="K66" s="673">
        <f>E66*J66</f>
        <v>15.026000000000002</v>
      </c>
      <c r="L66" s="673"/>
      <c r="M66" s="85"/>
      <c r="N66" s="202"/>
      <c r="O66" s="794"/>
      <c r="P66" s="806"/>
      <c r="Q66" s="806"/>
      <c r="R66" s="808"/>
      <c r="S66" s="203"/>
      <c r="T66" s="203"/>
    </row>
    <row r="67" spans="1:20" s="214" customFormat="1" ht="15" customHeight="1">
      <c r="A67" s="196"/>
      <c r="B67" s="205"/>
      <c r="C67" s="206" t="s">
        <v>1758</v>
      </c>
      <c r="D67" s="207">
        <f>(11.8+24.4+6.9+4.3+19.7+1.2)*0.1</f>
        <v>6.83</v>
      </c>
      <c r="E67" s="208"/>
      <c r="F67" s="208"/>
      <c r="G67" s="209"/>
      <c r="H67" s="210"/>
      <c r="I67" s="210"/>
      <c r="J67" s="211"/>
      <c r="K67" s="673"/>
      <c r="L67" s="705"/>
      <c r="M67" s="211"/>
      <c r="N67" s="212"/>
      <c r="O67" s="794"/>
      <c r="P67" s="806"/>
      <c r="Q67" s="806"/>
      <c r="R67" s="807"/>
      <c r="S67" s="213"/>
      <c r="T67" s="213"/>
    </row>
    <row r="68" spans="1:20" s="204" customFormat="1" ht="29.25" customHeight="1">
      <c r="A68" s="196" t="s">
        <v>91</v>
      </c>
      <c r="B68" s="197" t="s">
        <v>54</v>
      </c>
      <c r="C68" s="136" t="s">
        <v>55</v>
      </c>
      <c r="D68" s="198" t="s">
        <v>52</v>
      </c>
      <c r="E68" s="199">
        <f>E66</f>
        <v>6.83</v>
      </c>
      <c r="F68" s="199"/>
      <c r="G68" s="200">
        <f>E68*F68</f>
        <v>0</v>
      </c>
      <c r="H68" s="201">
        <v>0</v>
      </c>
      <c r="I68" s="201">
        <f>E68*H68</f>
        <v>0</v>
      </c>
      <c r="J68" s="85">
        <v>0.044</v>
      </c>
      <c r="K68" s="673">
        <f>E68*J68</f>
        <v>0.30052</v>
      </c>
      <c r="L68" s="673"/>
      <c r="M68" s="85"/>
      <c r="N68" s="202"/>
      <c r="O68" s="794"/>
      <c r="P68" s="806"/>
      <c r="Q68" s="806"/>
      <c r="R68" s="808"/>
      <c r="S68" s="203"/>
      <c r="T68" s="203"/>
    </row>
    <row r="69" spans="1:20" s="204" customFormat="1" ht="29.25" customHeight="1">
      <c r="A69" s="196" t="s">
        <v>93</v>
      </c>
      <c r="B69" s="197" t="s">
        <v>59</v>
      </c>
      <c r="C69" s="136" t="s">
        <v>60</v>
      </c>
      <c r="D69" s="198" t="s">
        <v>52</v>
      </c>
      <c r="E69" s="199">
        <f>SUM(D70)</f>
        <v>10.245</v>
      </c>
      <c r="F69" s="199"/>
      <c r="G69" s="200">
        <f>E69*F69</f>
        <v>0</v>
      </c>
      <c r="H69" s="201">
        <v>0</v>
      </c>
      <c r="I69" s="201">
        <f>E69*H69</f>
        <v>0</v>
      </c>
      <c r="J69" s="85">
        <v>1.4</v>
      </c>
      <c r="K69" s="673">
        <f>E69*J69</f>
        <v>14.342999999999998</v>
      </c>
      <c r="L69" s="673"/>
      <c r="M69" s="85"/>
      <c r="N69" s="202"/>
      <c r="O69" s="794"/>
      <c r="P69" s="806"/>
      <c r="Q69" s="806"/>
      <c r="R69" s="808"/>
      <c r="S69" s="203"/>
      <c r="T69" s="203"/>
    </row>
    <row r="70" spans="1:20" s="214" customFormat="1" ht="15" customHeight="1">
      <c r="A70" s="196"/>
      <c r="B70" s="205"/>
      <c r="C70" s="206" t="s">
        <v>1759</v>
      </c>
      <c r="D70" s="207">
        <f>(11.8+24.4+6.9+4.3+19.7+1.2)*0.15</f>
        <v>10.245</v>
      </c>
      <c r="E70" s="208"/>
      <c r="F70" s="208"/>
      <c r="G70" s="209"/>
      <c r="H70" s="210"/>
      <c r="I70" s="210"/>
      <c r="J70" s="211"/>
      <c r="K70" s="673"/>
      <c r="L70" s="705"/>
      <c r="M70" s="211"/>
      <c r="N70" s="212"/>
      <c r="O70" s="794"/>
      <c r="P70" s="806"/>
      <c r="Q70" s="806"/>
      <c r="R70" s="807"/>
      <c r="S70" s="213"/>
      <c r="T70" s="213"/>
    </row>
    <row r="71" spans="1:20" s="214" customFormat="1" ht="15" customHeight="1">
      <c r="A71" s="196"/>
      <c r="B71" s="205"/>
      <c r="C71" s="206"/>
      <c r="D71" s="207"/>
      <c r="E71" s="208"/>
      <c r="F71" s="208"/>
      <c r="G71" s="209"/>
      <c r="H71" s="210"/>
      <c r="I71" s="210"/>
      <c r="J71" s="211"/>
      <c r="K71" s="85"/>
      <c r="L71" s="211"/>
      <c r="M71" s="211"/>
      <c r="N71" s="212"/>
      <c r="O71" s="794"/>
      <c r="P71" s="806"/>
      <c r="Q71" s="806"/>
      <c r="R71" s="807"/>
      <c r="S71" s="213"/>
      <c r="T71" s="213"/>
    </row>
    <row r="72" spans="1:20" s="204" customFormat="1" ht="29.25" customHeight="1">
      <c r="A72" s="196"/>
      <c r="B72" s="197" t="s">
        <v>68</v>
      </c>
      <c r="C72" s="215" t="s">
        <v>69</v>
      </c>
      <c r="D72" s="198"/>
      <c r="E72" s="199"/>
      <c r="F72" s="199"/>
      <c r="G72" s="200"/>
      <c r="H72" s="201"/>
      <c r="I72" s="216">
        <f>SUM(I37:I71)</f>
        <v>0</v>
      </c>
      <c r="J72" s="217"/>
      <c r="K72" s="217">
        <f>SUM(K37:K71)</f>
        <v>83.88219000000001</v>
      </c>
      <c r="L72" s="85"/>
      <c r="M72" s="85"/>
      <c r="N72" s="202"/>
      <c r="O72" s="794"/>
      <c r="P72" s="806"/>
      <c r="Q72" s="806"/>
      <c r="R72" s="808"/>
      <c r="S72" s="203"/>
      <c r="T72" s="203"/>
    </row>
    <row r="73" spans="1:20" s="204" customFormat="1" ht="36.75" customHeight="1">
      <c r="A73" s="196" t="s">
        <v>95</v>
      </c>
      <c r="B73" s="237" t="s">
        <v>1038</v>
      </c>
      <c r="C73" s="711" t="s">
        <v>1039</v>
      </c>
      <c r="D73" s="712" t="s">
        <v>73</v>
      </c>
      <c r="E73" s="713">
        <f>K72</f>
        <v>83.88219000000001</v>
      </c>
      <c r="F73" s="199"/>
      <c r="G73" s="200">
        <f aca="true" t="shared" si="1" ref="G73:G79">E73*F73</f>
        <v>0</v>
      </c>
      <c r="H73" s="85"/>
      <c r="I73" s="85"/>
      <c r="J73" s="201"/>
      <c r="K73" s="201"/>
      <c r="L73" s="85"/>
      <c r="M73" s="85"/>
      <c r="N73" s="202"/>
      <c r="O73" s="794"/>
      <c r="P73" s="806"/>
      <c r="Q73" s="806"/>
      <c r="R73" s="808"/>
      <c r="S73" s="203"/>
      <c r="T73" s="203"/>
    </row>
    <row r="74" spans="1:20" s="204" customFormat="1" ht="22.5" customHeight="1">
      <c r="A74" s="196" t="s">
        <v>103</v>
      </c>
      <c r="B74" s="197" t="s">
        <v>71</v>
      </c>
      <c r="C74" s="136" t="s">
        <v>72</v>
      </c>
      <c r="D74" s="198" t="s">
        <v>73</v>
      </c>
      <c r="E74" s="199">
        <f>E73</f>
        <v>83.88219000000001</v>
      </c>
      <c r="F74" s="199"/>
      <c r="G74" s="200">
        <f t="shared" si="1"/>
        <v>0</v>
      </c>
      <c r="H74" s="85"/>
      <c r="I74" s="85"/>
      <c r="J74" s="201"/>
      <c r="K74" s="201"/>
      <c r="L74" s="85"/>
      <c r="M74" s="85"/>
      <c r="N74" s="202"/>
      <c r="O74" s="794"/>
      <c r="P74" s="806"/>
      <c r="Q74" s="806"/>
      <c r="R74" s="808"/>
      <c r="S74" s="203"/>
      <c r="T74" s="203"/>
    </row>
    <row r="75" spans="1:20" s="214" customFormat="1" ht="36.75" customHeight="1">
      <c r="A75" s="196" t="s">
        <v>107</v>
      </c>
      <c r="B75" s="237" t="s">
        <v>75</v>
      </c>
      <c r="C75" s="711" t="s">
        <v>1040</v>
      </c>
      <c r="D75" s="714" t="s">
        <v>73</v>
      </c>
      <c r="E75" s="713">
        <f>E73</f>
        <v>83.88219000000001</v>
      </c>
      <c r="F75" s="199"/>
      <c r="G75" s="200">
        <f t="shared" si="1"/>
        <v>0</v>
      </c>
      <c r="H75" s="211"/>
      <c r="I75" s="85"/>
      <c r="J75" s="210"/>
      <c r="K75" s="210"/>
      <c r="L75" s="211"/>
      <c r="M75" s="211"/>
      <c r="N75" s="212"/>
      <c r="O75" s="794"/>
      <c r="P75" s="806"/>
      <c r="Q75" s="806"/>
      <c r="R75" s="807"/>
      <c r="S75" s="213"/>
      <c r="T75" s="213"/>
    </row>
    <row r="76" spans="1:20" s="204" customFormat="1" ht="29.25" customHeight="1">
      <c r="A76" s="196" t="s">
        <v>1358</v>
      </c>
      <c r="B76" s="237" t="s">
        <v>78</v>
      </c>
      <c r="C76" s="711" t="s">
        <v>1051</v>
      </c>
      <c r="D76" s="712" t="s">
        <v>73</v>
      </c>
      <c r="E76" s="713">
        <f>E73*10</f>
        <v>838.8219000000001</v>
      </c>
      <c r="F76" s="199"/>
      <c r="G76" s="200">
        <f t="shared" si="1"/>
        <v>0</v>
      </c>
      <c r="H76" s="85"/>
      <c r="I76" s="85"/>
      <c r="J76" s="201"/>
      <c r="K76" s="201"/>
      <c r="L76" s="85"/>
      <c r="M76" s="85"/>
      <c r="N76" s="202"/>
      <c r="O76" s="794"/>
      <c r="P76" s="806"/>
      <c r="Q76" s="806"/>
      <c r="R76" s="808"/>
      <c r="S76" s="203"/>
      <c r="T76" s="203"/>
    </row>
    <row r="77" spans="1:20" s="214" customFormat="1" ht="30" customHeight="1">
      <c r="A77" s="196" t="s">
        <v>1359</v>
      </c>
      <c r="B77" s="237" t="s">
        <v>1041</v>
      </c>
      <c r="C77" s="711" t="s">
        <v>1042</v>
      </c>
      <c r="D77" s="714" t="s">
        <v>73</v>
      </c>
      <c r="E77" s="713">
        <f>K47+K51+K55+K57+K59</f>
        <v>35.16824199999999</v>
      </c>
      <c r="F77" s="199"/>
      <c r="G77" s="200">
        <f t="shared" si="1"/>
        <v>0</v>
      </c>
      <c r="H77" s="211"/>
      <c r="I77" s="85"/>
      <c r="J77" s="210"/>
      <c r="K77" s="210"/>
      <c r="L77" s="211"/>
      <c r="M77" s="211"/>
      <c r="N77" s="212"/>
      <c r="O77" s="794"/>
      <c r="P77" s="806"/>
      <c r="Q77" s="806"/>
      <c r="R77" s="807"/>
      <c r="S77" s="213"/>
      <c r="T77" s="213"/>
    </row>
    <row r="78" spans="1:20" s="204" customFormat="1" ht="29.25" customHeight="1">
      <c r="A78" s="196" t="s">
        <v>1360</v>
      </c>
      <c r="B78" s="197">
        <v>997221861</v>
      </c>
      <c r="C78" s="136" t="s">
        <v>1052</v>
      </c>
      <c r="D78" s="198" t="s">
        <v>73</v>
      </c>
      <c r="E78" s="199">
        <f>K64</f>
        <v>7.640999999999999</v>
      </c>
      <c r="F78" s="199"/>
      <c r="G78" s="200">
        <f t="shared" si="1"/>
        <v>0</v>
      </c>
      <c r="H78" s="85"/>
      <c r="I78" s="85"/>
      <c r="J78" s="201"/>
      <c r="K78" s="201"/>
      <c r="L78" s="85"/>
      <c r="M78" s="85"/>
      <c r="N78" s="202"/>
      <c r="O78" s="794"/>
      <c r="P78" s="806"/>
      <c r="Q78" s="806"/>
      <c r="R78" s="808"/>
      <c r="S78" s="203"/>
      <c r="T78" s="203"/>
    </row>
    <row r="79" spans="1:20" s="204" customFormat="1" ht="29.25" customHeight="1">
      <c r="A79" s="196" t="s">
        <v>1361</v>
      </c>
      <c r="B79" s="197">
        <v>997221862</v>
      </c>
      <c r="C79" s="136" t="s">
        <v>81</v>
      </c>
      <c r="D79" s="198" t="s">
        <v>73</v>
      </c>
      <c r="E79" s="199">
        <f>K66+K68</f>
        <v>15.326520000000002</v>
      </c>
      <c r="F79" s="199"/>
      <c r="G79" s="200">
        <f t="shared" si="1"/>
        <v>0</v>
      </c>
      <c r="H79" s="85"/>
      <c r="I79" s="85"/>
      <c r="J79" s="201"/>
      <c r="K79" s="201"/>
      <c r="L79" s="85"/>
      <c r="M79" s="85"/>
      <c r="N79" s="202"/>
      <c r="O79" s="794"/>
      <c r="P79" s="806"/>
      <c r="Q79" s="806"/>
      <c r="R79" s="808"/>
      <c r="S79" s="203"/>
      <c r="T79" s="203"/>
    </row>
    <row r="80" spans="1:20" s="204" customFormat="1" ht="29.25" customHeight="1">
      <c r="A80" s="196" t="s">
        <v>1362</v>
      </c>
      <c r="B80" s="197">
        <v>997013871</v>
      </c>
      <c r="C80" s="136" t="s">
        <v>1064</v>
      </c>
      <c r="D80" s="198" t="s">
        <v>73</v>
      </c>
      <c r="E80" s="199">
        <f>K39+K40+K49+K41+K42+K43</f>
        <v>1.5365280000000001</v>
      </c>
      <c r="F80" s="199"/>
      <c r="G80" s="200">
        <f>$E80*F80</f>
        <v>0</v>
      </c>
      <c r="H80" s="85"/>
      <c r="I80" s="85"/>
      <c r="J80" s="201"/>
      <c r="K80" s="201"/>
      <c r="L80" s="85"/>
      <c r="M80" s="85"/>
      <c r="N80" s="202"/>
      <c r="O80" s="794"/>
      <c r="P80" s="806"/>
      <c r="Q80" s="806"/>
      <c r="R80" s="808"/>
      <c r="S80" s="203"/>
      <c r="T80" s="203"/>
    </row>
    <row r="81" spans="1:20" s="204" customFormat="1" ht="34.5" customHeight="1">
      <c r="A81" s="196" t="s">
        <v>1363</v>
      </c>
      <c r="B81" s="237" t="s">
        <v>1043</v>
      </c>
      <c r="C81" s="711" t="s">
        <v>1044</v>
      </c>
      <c r="D81" s="712" t="s">
        <v>73</v>
      </c>
      <c r="E81" s="713">
        <f>K45</f>
        <v>0.336</v>
      </c>
      <c r="F81" s="199"/>
      <c r="G81" s="200">
        <f>E81*F81</f>
        <v>0</v>
      </c>
      <c r="H81" s="85"/>
      <c r="I81" s="85"/>
      <c r="J81" s="201"/>
      <c r="K81" s="201"/>
      <c r="L81" s="85"/>
      <c r="M81" s="85"/>
      <c r="N81" s="202"/>
      <c r="O81" s="794"/>
      <c r="P81" s="806"/>
      <c r="Q81" s="806"/>
      <c r="R81" s="808"/>
      <c r="S81" s="203"/>
      <c r="T81" s="203"/>
    </row>
    <row r="82" spans="1:20" s="204" customFormat="1" ht="34.5" customHeight="1">
      <c r="A82" s="196" t="s">
        <v>1364</v>
      </c>
      <c r="B82" s="237" t="s">
        <v>1045</v>
      </c>
      <c r="C82" s="711" t="s">
        <v>1046</v>
      </c>
      <c r="D82" s="712" t="s">
        <v>73</v>
      </c>
      <c r="E82" s="713">
        <f>K65</f>
        <v>0.33959999999999996</v>
      </c>
      <c r="F82" s="199"/>
      <c r="G82" s="200">
        <f>E82*F82</f>
        <v>0</v>
      </c>
      <c r="H82" s="217"/>
      <c r="I82" s="217"/>
      <c r="J82" s="201"/>
      <c r="K82" s="216"/>
      <c r="L82" s="85"/>
      <c r="M82" s="85"/>
      <c r="N82" s="202"/>
      <c r="O82" s="794"/>
      <c r="P82" s="806"/>
      <c r="Q82" s="806"/>
      <c r="R82" s="808"/>
      <c r="S82" s="203"/>
      <c r="T82" s="203"/>
    </row>
    <row r="83" spans="1:20" s="204" customFormat="1" ht="34.5" customHeight="1">
      <c r="A83" s="196" t="s">
        <v>1365</v>
      </c>
      <c r="B83" s="237" t="s">
        <v>1110</v>
      </c>
      <c r="C83" s="711" t="s">
        <v>1111</v>
      </c>
      <c r="D83" s="712" t="s">
        <v>73</v>
      </c>
      <c r="E83" s="713">
        <f>K62+K53</f>
        <v>9.1913</v>
      </c>
      <c r="F83" s="199"/>
      <c r="G83" s="200">
        <f>E83*F83</f>
        <v>0</v>
      </c>
      <c r="H83" s="217"/>
      <c r="I83" s="217"/>
      <c r="J83" s="201"/>
      <c r="K83" s="216"/>
      <c r="L83" s="85"/>
      <c r="M83" s="85"/>
      <c r="N83" s="202"/>
      <c r="O83" s="794"/>
      <c r="P83" s="806"/>
      <c r="Q83" s="806"/>
      <c r="R83" s="808"/>
      <c r="S83" s="203"/>
      <c r="T83" s="203"/>
    </row>
    <row r="84" spans="1:20" s="204" customFormat="1" ht="34.5" customHeight="1">
      <c r="A84" s="196" t="s">
        <v>1366</v>
      </c>
      <c r="B84" s="237">
        <v>997013873</v>
      </c>
      <c r="C84" s="711" t="s">
        <v>1394</v>
      </c>
      <c r="D84" s="712" t="s">
        <v>73</v>
      </c>
      <c r="E84" s="713">
        <f>K69</f>
        <v>14.342999999999998</v>
      </c>
      <c r="F84" s="199"/>
      <c r="G84" s="200">
        <f>E84*F84</f>
        <v>0</v>
      </c>
      <c r="H84" s="217"/>
      <c r="I84" s="217"/>
      <c r="J84" s="201"/>
      <c r="K84" s="216"/>
      <c r="L84" s="85"/>
      <c r="M84" s="85"/>
      <c r="N84" s="202"/>
      <c r="O84" s="794"/>
      <c r="P84" s="806"/>
      <c r="Q84" s="806"/>
      <c r="R84" s="808"/>
      <c r="S84" s="203"/>
      <c r="T84" s="203"/>
    </row>
    <row r="85" spans="1:20" s="204" customFormat="1" ht="12" customHeight="1">
      <c r="A85" s="196"/>
      <c r="B85" s="197"/>
      <c r="C85" s="136"/>
      <c r="D85" s="198"/>
      <c r="E85" s="199"/>
      <c r="F85" s="199"/>
      <c r="G85" s="200"/>
      <c r="H85" s="201"/>
      <c r="I85" s="201"/>
      <c r="J85" s="85"/>
      <c r="K85" s="85"/>
      <c r="L85" s="85"/>
      <c r="M85" s="85"/>
      <c r="N85" s="202"/>
      <c r="O85" s="794"/>
      <c r="P85" s="806"/>
      <c r="Q85" s="806"/>
      <c r="R85" s="808"/>
      <c r="S85" s="203"/>
      <c r="T85" s="203"/>
    </row>
    <row r="86" spans="1:20" s="204" customFormat="1" ht="29.25" customHeight="1">
      <c r="A86" s="196" t="s">
        <v>1367</v>
      </c>
      <c r="B86" s="197" t="s">
        <v>86</v>
      </c>
      <c r="C86" s="136" t="s">
        <v>87</v>
      </c>
      <c r="D86" s="198" t="s">
        <v>52</v>
      </c>
      <c r="E86" s="199">
        <f>SUM(D87)</f>
        <v>8.5975</v>
      </c>
      <c r="F86" s="199"/>
      <c r="G86" s="200">
        <f>E86*F86</f>
        <v>0</v>
      </c>
      <c r="H86" s="201">
        <v>0</v>
      </c>
      <c r="I86" s="201">
        <f>E86*H86</f>
        <v>0</v>
      </c>
      <c r="J86" s="85">
        <v>0</v>
      </c>
      <c r="K86" s="85">
        <f>E86*J86</f>
        <v>0</v>
      </c>
      <c r="L86" s="85"/>
      <c r="M86" s="85"/>
      <c r="N86" s="202"/>
      <c r="O86" s="794"/>
      <c r="P86" s="806"/>
      <c r="Q86" s="806"/>
      <c r="R86" s="808"/>
      <c r="S86" s="203"/>
      <c r="T86" s="203"/>
    </row>
    <row r="87" spans="1:20" s="214" customFormat="1" ht="15" customHeight="1">
      <c r="A87" s="196"/>
      <c r="B87" s="205"/>
      <c r="C87" s="206" t="s">
        <v>1762</v>
      </c>
      <c r="D87" s="207">
        <f>68.3*0.125+0.06</f>
        <v>8.5975</v>
      </c>
      <c r="E87" s="208"/>
      <c r="F87" s="208"/>
      <c r="G87" s="209"/>
      <c r="H87" s="210"/>
      <c r="I87" s="210"/>
      <c r="J87" s="211"/>
      <c r="K87" s="85"/>
      <c r="L87" s="211"/>
      <c r="M87" s="211"/>
      <c r="N87" s="212"/>
      <c r="O87" s="794"/>
      <c r="P87" s="806"/>
      <c r="Q87" s="806"/>
      <c r="R87" s="807"/>
      <c r="S87" s="213"/>
      <c r="T87" s="213"/>
    </row>
    <row r="88" spans="1:20" s="204" customFormat="1" ht="33.75" customHeight="1">
      <c r="A88" s="196" t="s">
        <v>1368</v>
      </c>
      <c r="B88" s="197" t="s">
        <v>90</v>
      </c>
      <c r="C88" s="136" t="s">
        <v>1395</v>
      </c>
      <c r="D88" s="198" t="s">
        <v>52</v>
      </c>
      <c r="E88" s="199">
        <f>E86</f>
        <v>8.5975</v>
      </c>
      <c r="F88" s="199"/>
      <c r="G88" s="200">
        <f aca="true" t="shared" si="2" ref="G88:G93">E88*F88</f>
        <v>0</v>
      </c>
      <c r="H88" s="201">
        <v>0</v>
      </c>
      <c r="I88" s="201">
        <f>E88*H88</f>
        <v>0</v>
      </c>
      <c r="J88" s="85">
        <v>0</v>
      </c>
      <c r="K88" s="85">
        <f>E88*J88</f>
        <v>0</v>
      </c>
      <c r="L88" s="85"/>
      <c r="M88" s="85"/>
      <c r="N88" s="202"/>
      <c r="O88" s="794"/>
      <c r="P88" s="806"/>
      <c r="Q88" s="806"/>
      <c r="R88" s="808"/>
      <c r="S88" s="203"/>
      <c r="T88" s="203"/>
    </row>
    <row r="89" spans="1:20" s="204" customFormat="1" ht="32.25" customHeight="1">
      <c r="A89" s="196" t="s">
        <v>1369</v>
      </c>
      <c r="B89" s="197" t="s">
        <v>92</v>
      </c>
      <c r="C89" s="136" t="s">
        <v>1396</v>
      </c>
      <c r="D89" s="198" t="s">
        <v>52</v>
      </c>
      <c r="E89" s="199">
        <f>E86*2</f>
        <v>17.195</v>
      </c>
      <c r="F89" s="199"/>
      <c r="G89" s="200">
        <f t="shared" si="2"/>
        <v>0</v>
      </c>
      <c r="H89" s="201">
        <v>0</v>
      </c>
      <c r="I89" s="201">
        <f>E89*H89</f>
        <v>0</v>
      </c>
      <c r="J89" s="85">
        <v>0</v>
      </c>
      <c r="K89" s="85">
        <f>E89*J89</f>
        <v>0</v>
      </c>
      <c r="L89" s="85"/>
      <c r="M89" s="85"/>
      <c r="N89" s="202"/>
      <c r="O89" s="794"/>
      <c r="P89" s="806"/>
      <c r="Q89" s="806"/>
      <c r="R89" s="808"/>
      <c r="S89" s="203"/>
      <c r="T89" s="203"/>
    </row>
    <row r="90" spans="1:20" s="204" customFormat="1" ht="29.25" customHeight="1">
      <c r="A90" s="196" t="s">
        <v>1370</v>
      </c>
      <c r="B90" s="197" t="s">
        <v>94</v>
      </c>
      <c r="C90" s="136" t="s">
        <v>1397</v>
      </c>
      <c r="D90" s="198" t="s">
        <v>52</v>
      </c>
      <c r="E90" s="199">
        <f>E86</f>
        <v>8.5975</v>
      </c>
      <c r="F90" s="199"/>
      <c r="G90" s="200">
        <f t="shared" si="2"/>
        <v>0</v>
      </c>
      <c r="H90" s="201">
        <v>0</v>
      </c>
      <c r="I90" s="201">
        <f>E90*H90</f>
        <v>0</v>
      </c>
      <c r="J90" s="85">
        <v>0</v>
      </c>
      <c r="K90" s="85">
        <f>E90*J90</f>
        <v>0</v>
      </c>
      <c r="L90" s="85"/>
      <c r="M90" s="85"/>
      <c r="N90" s="202"/>
      <c r="O90" s="794"/>
      <c r="P90" s="806"/>
      <c r="Q90" s="806"/>
      <c r="R90" s="808"/>
      <c r="S90" s="203"/>
      <c r="T90" s="203"/>
    </row>
    <row r="91" spans="1:62" s="204" customFormat="1" ht="29.25" customHeight="1">
      <c r="A91" s="196" t="s">
        <v>1371</v>
      </c>
      <c r="B91" s="197" t="s">
        <v>96</v>
      </c>
      <c r="C91" s="136" t="s">
        <v>97</v>
      </c>
      <c r="D91" s="198" t="s">
        <v>52</v>
      </c>
      <c r="E91" s="199">
        <f>E90</f>
        <v>8.5975</v>
      </c>
      <c r="F91" s="199"/>
      <c r="G91" s="200">
        <f t="shared" si="2"/>
        <v>0</v>
      </c>
      <c r="H91" s="201"/>
      <c r="I91" s="201"/>
      <c r="J91" s="85"/>
      <c r="K91" s="85"/>
      <c r="L91" s="85"/>
      <c r="M91" s="85"/>
      <c r="N91" s="202"/>
      <c r="O91" s="794"/>
      <c r="P91" s="806"/>
      <c r="Q91" s="806"/>
      <c r="R91" s="808"/>
      <c r="S91" s="203"/>
      <c r="T91" s="203"/>
      <c r="AO91" s="204" t="s">
        <v>98</v>
      </c>
      <c r="AQ91" s="204" t="s">
        <v>99</v>
      </c>
      <c r="AR91" s="204" t="s">
        <v>100</v>
      </c>
      <c r="AV91" s="204" t="s">
        <v>101</v>
      </c>
      <c r="BB91" s="204">
        <f>IF(K91="základní",G91,0)</f>
        <v>0</v>
      </c>
      <c r="BC91" s="204">
        <f>IF(K91="snížená",G91,0)</f>
        <v>0</v>
      </c>
      <c r="BD91" s="204">
        <f>IF(K91="zákl. přenesená",G91,0)</f>
        <v>0</v>
      </c>
      <c r="BE91" s="204">
        <f>IF(K91="sníž. přenesená",G91,0)</f>
        <v>0</v>
      </c>
      <c r="BF91" s="204">
        <f>IF(K91="nulová",G91,0)</f>
        <v>0</v>
      </c>
      <c r="BG91" s="204" t="s">
        <v>43</v>
      </c>
      <c r="BH91" s="204">
        <f>ROUND(F91*E91,2)</f>
        <v>0</v>
      </c>
      <c r="BI91" s="204" t="s">
        <v>98</v>
      </c>
      <c r="BJ91" s="204" t="s">
        <v>102</v>
      </c>
    </row>
    <row r="92" spans="1:62" s="204" customFormat="1" ht="18" customHeight="1">
      <c r="A92" s="196" t="s">
        <v>1372</v>
      </c>
      <c r="B92" s="197" t="s">
        <v>104</v>
      </c>
      <c r="C92" s="136" t="s">
        <v>105</v>
      </c>
      <c r="D92" s="198" t="s">
        <v>52</v>
      </c>
      <c r="E92" s="199">
        <f>E91</f>
        <v>8.5975</v>
      </c>
      <c r="F92" s="199"/>
      <c r="G92" s="200">
        <f t="shared" si="2"/>
        <v>0</v>
      </c>
      <c r="H92" s="201">
        <v>0</v>
      </c>
      <c r="I92" s="201">
        <f>E92*H92</f>
        <v>0</v>
      </c>
      <c r="J92" s="85">
        <v>0</v>
      </c>
      <c r="K92" s="85">
        <f>E92*J92</f>
        <v>0</v>
      </c>
      <c r="L92" s="85"/>
      <c r="M92" s="85"/>
      <c r="N92" s="202"/>
      <c r="O92" s="794"/>
      <c r="P92" s="806"/>
      <c r="Q92" s="806"/>
      <c r="R92" s="808"/>
      <c r="S92" s="203"/>
      <c r="T92" s="203"/>
      <c r="AO92" s="204" t="s">
        <v>98</v>
      </c>
      <c r="AQ92" s="204" t="s">
        <v>99</v>
      </c>
      <c r="AR92" s="204" t="s">
        <v>100</v>
      </c>
      <c r="AV92" s="204" t="s">
        <v>101</v>
      </c>
      <c r="BB92" s="204">
        <f>IF(K92="základní",G92,0)</f>
        <v>0</v>
      </c>
      <c r="BC92" s="204">
        <f>IF(K92="snížená",G92,0)</f>
        <v>0</v>
      </c>
      <c r="BD92" s="204">
        <f>IF(K92="zákl. přenesená",G92,0)</f>
        <v>0</v>
      </c>
      <c r="BE92" s="204">
        <f>IF(K92="sníž. přenesená",G92,0)</f>
        <v>0</v>
      </c>
      <c r="BF92" s="204">
        <f>IF(K92="nulová",G92,0)</f>
        <v>0</v>
      </c>
      <c r="BG92" s="204" t="s">
        <v>43</v>
      </c>
      <c r="BH92" s="204">
        <f>ROUND(F92*E92,2)</f>
        <v>0</v>
      </c>
      <c r="BI92" s="204" t="s">
        <v>98</v>
      </c>
      <c r="BJ92" s="204" t="s">
        <v>106</v>
      </c>
    </row>
    <row r="93" spans="1:62" s="204" customFormat="1" ht="29.25" customHeight="1">
      <c r="A93" s="196" t="s">
        <v>1648</v>
      </c>
      <c r="B93" s="197" t="s">
        <v>108</v>
      </c>
      <c r="C93" s="136" t="s">
        <v>1398</v>
      </c>
      <c r="D93" s="198" t="s">
        <v>73</v>
      </c>
      <c r="E93" s="199">
        <f>SUM(D94)</f>
        <v>15.48</v>
      </c>
      <c r="F93" s="199"/>
      <c r="G93" s="200">
        <f t="shared" si="2"/>
        <v>0</v>
      </c>
      <c r="H93" s="201">
        <v>0</v>
      </c>
      <c r="I93" s="201">
        <f>E93*H93</f>
        <v>0</v>
      </c>
      <c r="J93" s="85">
        <v>0</v>
      </c>
      <c r="K93" s="85">
        <f>E93*J93</f>
        <v>0</v>
      </c>
      <c r="L93" s="85"/>
      <c r="M93" s="85"/>
      <c r="N93" s="202"/>
      <c r="O93" s="794"/>
      <c r="P93" s="806"/>
      <c r="Q93" s="806"/>
      <c r="R93" s="808"/>
      <c r="S93" s="203"/>
      <c r="T93" s="203"/>
      <c r="AO93" s="204" t="s">
        <v>98</v>
      </c>
      <c r="AQ93" s="204" t="s">
        <v>99</v>
      </c>
      <c r="AR93" s="204" t="s">
        <v>100</v>
      </c>
      <c r="AV93" s="204" t="s">
        <v>101</v>
      </c>
      <c r="BB93" s="204">
        <f>IF(K93="základní",G93,0)</f>
        <v>0</v>
      </c>
      <c r="BC93" s="204">
        <f>IF(K93="snížená",G93,0)</f>
        <v>0</v>
      </c>
      <c r="BD93" s="204">
        <f>IF(K93="zákl. přenesená",G93,0)</f>
        <v>0</v>
      </c>
      <c r="BE93" s="204">
        <f>IF(K93="sníž. přenesená",G93,0)</f>
        <v>0</v>
      </c>
      <c r="BF93" s="204">
        <f>IF(K93="nulová",G93,0)</f>
        <v>0</v>
      </c>
      <c r="BG93" s="204" t="s">
        <v>43</v>
      </c>
      <c r="BH93" s="204">
        <f>ROUND(F93*E93,2)</f>
        <v>0</v>
      </c>
      <c r="BI93" s="204" t="s">
        <v>98</v>
      </c>
      <c r="BJ93" s="204" t="s">
        <v>109</v>
      </c>
    </row>
    <row r="94" spans="1:48" s="214" customFormat="1" ht="15" customHeight="1">
      <c r="A94" s="196"/>
      <c r="B94" s="205"/>
      <c r="C94" s="206" t="s">
        <v>1763</v>
      </c>
      <c r="D94" s="207">
        <f>8.6*1.8</f>
        <v>15.48</v>
      </c>
      <c r="E94" s="208"/>
      <c r="F94" s="208"/>
      <c r="G94" s="209"/>
      <c r="H94" s="210"/>
      <c r="I94" s="210"/>
      <c r="J94" s="211"/>
      <c r="K94" s="85"/>
      <c r="L94" s="211"/>
      <c r="M94" s="211"/>
      <c r="N94" s="212"/>
      <c r="O94" s="794"/>
      <c r="P94" s="806"/>
      <c r="Q94" s="806"/>
      <c r="R94" s="807"/>
      <c r="S94" s="213"/>
      <c r="T94" s="213"/>
      <c r="AQ94" s="214" t="s">
        <v>110</v>
      </c>
      <c r="AR94" s="214" t="s">
        <v>100</v>
      </c>
      <c r="AS94" s="214" t="s">
        <v>100</v>
      </c>
      <c r="AT94" s="214" t="s">
        <v>111</v>
      </c>
      <c r="AU94" s="214" t="s">
        <v>112</v>
      </c>
      <c r="AV94" s="214" t="s">
        <v>101</v>
      </c>
    </row>
    <row r="95" spans="1:20" s="204" customFormat="1" ht="12" customHeight="1">
      <c r="A95" s="196"/>
      <c r="B95" s="197"/>
      <c r="C95" s="136"/>
      <c r="D95" s="198"/>
      <c r="E95" s="199"/>
      <c r="F95" s="199"/>
      <c r="G95" s="200"/>
      <c r="H95" s="201"/>
      <c r="I95" s="201"/>
      <c r="J95" s="85"/>
      <c r="K95" s="85"/>
      <c r="L95" s="85"/>
      <c r="M95" s="85"/>
      <c r="N95" s="202"/>
      <c r="O95" s="794"/>
      <c r="P95" s="806"/>
      <c r="Q95" s="806"/>
      <c r="R95" s="808"/>
      <c r="S95" s="203"/>
      <c r="T95" s="203"/>
    </row>
    <row r="96" spans="1:20" s="267" customFormat="1" ht="22.5" customHeight="1">
      <c r="A96" s="262"/>
      <c r="B96" s="253"/>
      <c r="C96" s="254" t="s">
        <v>1354</v>
      </c>
      <c r="D96" s="253"/>
      <c r="E96" s="256"/>
      <c r="F96" s="256"/>
      <c r="G96" s="460"/>
      <c r="H96" s="264"/>
      <c r="I96" s="264"/>
      <c r="J96" s="264"/>
      <c r="K96" s="264"/>
      <c r="L96" s="264"/>
      <c r="M96" s="264"/>
      <c r="N96" s="265"/>
      <c r="O96" s="794"/>
      <c r="P96" s="806"/>
      <c r="Q96" s="806"/>
      <c r="R96" s="833"/>
      <c r="S96" s="266"/>
      <c r="T96" s="266"/>
    </row>
    <row r="97" spans="1:20" s="204" customFormat="1" ht="29.25" customHeight="1">
      <c r="A97" s="196" t="s">
        <v>1649</v>
      </c>
      <c r="B97" s="237" t="s">
        <v>48</v>
      </c>
      <c r="C97" s="711" t="s">
        <v>1103</v>
      </c>
      <c r="D97" s="712" t="s">
        <v>46</v>
      </c>
      <c r="E97" s="713">
        <v>17.6</v>
      </c>
      <c r="F97" s="199"/>
      <c r="G97" s="200">
        <f>E97*F97</f>
        <v>0</v>
      </c>
      <c r="H97" s="85">
        <v>0</v>
      </c>
      <c r="I97" s="85">
        <f>E97*H97</f>
        <v>0</v>
      </c>
      <c r="J97" s="201">
        <v>0.09</v>
      </c>
      <c r="K97" s="861">
        <f>E97*J97</f>
        <v>1.584</v>
      </c>
      <c r="L97" s="85"/>
      <c r="M97" s="85"/>
      <c r="N97" s="202"/>
      <c r="O97" s="794"/>
      <c r="P97" s="806"/>
      <c r="Q97" s="806"/>
      <c r="R97" s="808"/>
      <c r="S97" s="203"/>
      <c r="T97" s="203"/>
    </row>
    <row r="98" spans="1:20" s="204" customFormat="1" ht="19.5" customHeight="1">
      <c r="A98" s="196" t="s">
        <v>1650</v>
      </c>
      <c r="B98" s="305" t="s">
        <v>1115</v>
      </c>
      <c r="C98" s="306" t="s">
        <v>1116</v>
      </c>
      <c r="D98" s="305" t="s">
        <v>46</v>
      </c>
      <c r="E98" s="199">
        <v>17.6</v>
      </c>
      <c r="F98" s="199"/>
      <c r="G98" s="200">
        <f>E98*F98</f>
        <v>0</v>
      </c>
      <c r="H98" s="85">
        <v>0</v>
      </c>
      <c r="I98" s="85">
        <f>E98*H98</f>
        <v>0</v>
      </c>
      <c r="J98" s="85">
        <v>0.083</v>
      </c>
      <c r="K98" s="861">
        <f>E98*J98</f>
        <v>1.4608</v>
      </c>
      <c r="L98" s="85"/>
      <c r="M98" s="85"/>
      <c r="N98" s="202"/>
      <c r="O98" s="794"/>
      <c r="P98" s="806"/>
      <c r="Q98" s="806"/>
      <c r="R98" s="808"/>
      <c r="S98" s="203"/>
      <c r="T98" s="203"/>
    </row>
    <row r="99" spans="1:20" s="214" customFormat="1" ht="23.25" customHeight="1">
      <c r="A99" s="196" t="s">
        <v>1651</v>
      </c>
      <c r="B99" s="237" t="s">
        <v>1108</v>
      </c>
      <c r="C99" s="711" t="s">
        <v>1109</v>
      </c>
      <c r="D99" s="714" t="s">
        <v>46</v>
      </c>
      <c r="E99" s="713">
        <f>SUM(D100)</f>
        <v>6.304</v>
      </c>
      <c r="F99" s="199"/>
      <c r="G99" s="200">
        <f>E99*F99</f>
        <v>0</v>
      </c>
      <c r="H99" s="85">
        <v>0</v>
      </c>
      <c r="I99" s="85">
        <f>E99*H99</f>
        <v>0</v>
      </c>
      <c r="J99" s="201">
        <v>0.076</v>
      </c>
      <c r="K99" s="861">
        <f>E99*J99</f>
        <v>0.47910400000000003</v>
      </c>
      <c r="L99" s="211"/>
      <c r="M99" s="211"/>
      <c r="N99" s="212"/>
      <c r="O99" s="794"/>
      <c r="P99" s="806"/>
      <c r="Q99" s="806"/>
      <c r="R99" s="807"/>
      <c r="S99" s="213"/>
      <c r="T99" s="213"/>
    </row>
    <row r="100" spans="1:20" s="596" customFormat="1" ht="15.75" customHeight="1">
      <c r="A100" s="591"/>
      <c r="B100" s="837"/>
      <c r="C100" s="838" t="s">
        <v>1129</v>
      </c>
      <c r="D100" s="839">
        <f>0.8*1.97*4</f>
        <v>6.304</v>
      </c>
      <c r="E100" s="840"/>
      <c r="F100" s="841"/>
      <c r="G100" s="842"/>
      <c r="H100" s="593"/>
      <c r="I100" s="593"/>
      <c r="J100" s="592"/>
      <c r="K100" s="926"/>
      <c r="L100" s="593"/>
      <c r="M100" s="593"/>
      <c r="N100" s="594"/>
      <c r="O100" s="794"/>
      <c r="P100" s="806"/>
      <c r="Q100" s="806"/>
      <c r="R100" s="814"/>
      <c r="S100" s="595"/>
      <c r="T100" s="595"/>
    </row>
    <row r="101" spans="1:20" s="214" customFormat="1" ht="18" customHeight="1">
      <c r="A101" s="196" t="s">
        <v>1652</v>
      </c>
      <c r="B101" s="597" t="s">
        <v>1120</v>
      </c>
      <c r="C101" s="598" t="s">
        <v>1121</v>
      </c>
      <c r="D101" s="599" t="s">
        <v>175</v>
      </c>
      <c r="E101" s="600">
        <v>4</v>
      </c>
      <c r="F101" s="588"/>
      <c r="G101" s="200">
        <f>E101*F101</f>
        <v>0</v>
      </c>
      <c r="H101" s="85">
        <v>0</v>
      </c>
      <c r="I101" s="85">
        <f>E101*H101</f>
        <v>0</v>
      </c>
      <c r="J101" s="201">
        <v>0.024</v>
      </c>
      <c r="K101" s="861">
        <f>E101*J101</f>
        <v>0.096</v>
      </c>
      <c r="L101" s="211"/>
      <c r="M101" s="211"/>
      <c r="N101" s="212"/>
      <c r="O101" s="794"/>
      <c r="P101" s="806"/>
      <c r="Q101" s="806"/>
      <c r="R101" s="807"/>
      <c r="S101" s="213"/>
      <c r="T101" s="213"/>
    </row>
    <row r="102" spans="1:20" s="214" customFormat="1" ht="15" customHeight="1">
      <c r="A102" s="590"/>
      <c r="B102" s="597"/>
      <c r="C102" s="598"/>
      <c r="D102" s="599"/>
      <c r="E102" s="600"/>
      <c r="F102" s="588"/>
      <c r="G102" s="589"/>
      <c r="H102" s="85"/>
      <c r="I102" s="85"/>
      <c r="J102" s="201"/>
      <c r="K102" s="201"/>
      <c r="L102" s="211"/>
      <c r="M102" s="211"/>
      <c r="N102" s="212"/>
      <c r="O102" s="794"/>
      <c r="P102" s="806"/>
      <c r="Q102" s="806"/>
      <c r="R102" s="807"/>
      <c r="S102" s="213"/>
      <c r="T102" s="213"/>
    </row>
    <row r="103" spans="1:20" s="576" customFormat="1" ht="15" customHeight="1">
      <c r="A103" s="280"/>
      <c r="B103" s="263" t="s">
        <v>68</v>
      </c>
      <c r="C103" s="215" t="s">
        <v>69</v>
      </c>
      <c r="D103" s="843"/>
      <c r="E103" s="844"/>
      <c r="F103" s="574"/>
      <c r="G103" s="575"/>
      <c r="H103" s="264"/>
      <c r="I103" s="264"/>
      <c r="J103" s="285"/>
      <c r="K103" s="216">
        <f>SUM(K37:K102)</f>
        <v>171.38428400000004</v>
      </c>
      <c r="L103" s="264"/>
      <c r="M103" s="264"/>
      <c r="N103" s="265"/>
      <c r="O103" s="794"/>
      <c r="P103" s="806"/>
      <c r="Q103" s="806"/>
      <c r="R103" s="833"/>
      <c r="S103" s="266"/>
      <c r="T103" s="266"/>
    </row>
    <row r="104" spans="1:20" s="204" customFormat="1" ht="36.75" customHeight="1">
      <c r="A104" s="196" t="s">
        <v>1653</v>
      </c>
      <c r="B104" s="237" t="s">
        <v>1038</v>
      </c>
      <c r="C104" s="711" t="s">
        <v>1039</v>
      </c>
      <c r="D104" s="712" t="s">
        <v>73</v>
      </c>
      <c r="E104" s="713">
        <f>K103</f>
        <v>171.38428400000004</v>
      </c>
      <c r="F104" s="199"/>
      <c r="G104" s="200">
        <f>E104*F104</f>
        <v>0</v>
      </c>
      <c r="H104" s="85"/>
      <c r="I104" s="85"/>
      <c r="J104" s="201"/>
      <c r="K104" s="201"/>
      <c r="L104" s="85"/>
      <c r="M104" s="85"/>
      <c r="N104" s="202"/>
      <c r="O104" s="794"/>
      <c r="P104" s="806"/>
      <c r="Q104" s="806"/>
      <c r="R104" s="808"/>
      <c r="S104" s="203"/>
      <c r="T104" s="203"/>
    </row>
    <row r="105" spans="1:20" s="204" customFormat="1" ht="22.5" customHeight="1">
      <c r="A105" s="196" t="s">
        <v>1654</v>
      </c>
      <c r="B105" s="197" t="s">
        <v>71</v>
      </c>
      <c r="C105" s="136" t="s">
        <v>72</v>
      </c>
      <c r="D105" s="198" t="s">
        <v>73</v>
      </c>
      <c r="E105" s="199">
        <f>E104</f>
        <v>171.38428400000004</v>
      </c>
      <c r="F105" s="199"/>
      <c r="G105" s="200">
        <f>E105*F105</f>
        <v>0</v>
      </c>
      <c r="H105" s="85"/>
      <c r="I105" s="85"/>
      <c r="J105" s="201"/>
      <c r="K105" s="201"/>
      <c r="L105" s="85"/>
      <c r="M105" s="85"/>
      <c r="N105" s="202"/>
      <c r="O105" s="794"/>
      <c r="P105" s="806"/>
      <c r="Q105" s="806"/>
      <c r="R105" s="808"/>
      <c r="S105" s="203"/>
      <c r="T105" s="203"/>
    </row>
    <row r="106" spans="1:20" s="214" customFormat="1" ht="36.75" customHeight="1">
      <c r="A106" s="196" t="s">
        <v>1655</v>
      </c>
      <c r="B106" s="237" t="s">
        <v>75</v>
      </c>
      <c r="C106" s="711" t="s">
        <v>1040</v>
      </c>
      <c r="D106" s="714" t="s">
        <v>73</v>
      </c>
      <c r="E106" s="713">
        <f>E104</f>
        <v>171.38428400000004</v>
      </c>
      <c r="F106" s="199"/>
      <c r="G106" s="200">
        <f>E106*F106</f>
        <v>0</v>
      </c>
      <c r="H106" s="211"/>
      <c r="I106" s="85"/>
      <c r="J106" s="210"/>
      <c r="K106" s="210"/>
      <c r="L106" s="211"/>
      <c r="M106" s="211"/>
      <c r="N106" s="212"/>
      <c r="O106" s="794"/>
      <c r="P106" s="806"/>
      <c r="Q106" s="806"/>
      <c r="R106" s="807"/>
      <c r="S106" s="213"/>
      <c r="T106" s="213"/>
    </row>
    <row r="107" spans="1:20" s="204" customFormat="1" ht="29.25" customHeight="1">
      <c r="A107" s="196" t="s">
        <v>1697</v>
      </c>
      <c r="B107" s="237" t="s">
        <v>78</v>
      </c>
      <c r="C107" s="711" t="s">
        <v>1051</v>
      </c>
      <c r="D107" s="712" t="s">
        <v>73</v>
      </c>
      <c r="E107" s="713">
        <f>SUM(D108)</f>
        <v>43.099999999999994</v>
      </c>
      <c r="F107" s="199"/>
      <c r="G107" s="200">
        <f>E107*F107</f>
        <v>0</v>
      </c>
      <c r="H107" s="85"/>
      <c r="I107" s="85"/>
      <c r="J107" s="201"/>
      <c r="K107" s="201"/>
      <c r="L107" s="85"/>
      <c r="M107" s="85"/>
      <c r="N107" s="202"/>
      <c r="O107" s="794"/>
      <c r="P107" s="806"/>
      <c r="Q107" s="806"/>
      <c r="R107" s="808"/>
      <c r="S107" s="203"/>
      <c r="T107" s="203"/>
    </row>
    <row r="108" spans="1:20" s="214" customFormat="1" ht="15" customHeight="1">
      <c r="A108" s="196"/>
      <c r="B108" s="205"/>
      <c r="C108" s="206" t="s">
        <v>1131</v>
      </c>
      <c r="D108" s="207">
        <f>4.31*10</f>
        <v>43.099999999999994</v>
      </c>
      <c r="E108" s="208"/>
      <c r="F108" s="208"/>
      <c r="G108" s="209"/>
      <c r="H108" s="211"/>
      <c r="I108" s="85"/>
      <c r="J108" s="210"/>
      <c r="K108" s="210"/>
      <c r="L108" s="211"/>
      <c r="M108" s="211"/>
      <c r="N108" s="212"/>
      <c r="O108" s="794"/>
      <c r="P108" s="806"/>
      <c r="Q108" s="806"/>
      <c r="R108" s="807"/>
      <c r="S108" s="213"/>
      <c r="T108" s="213"/>
    </row>
    <row r="109" spans="1:20" s="214" customFormat="1" ht="30" customHeight="1">
      <c r="A109" s="196" t="s">
        <v>1834</v>
      </c>
      <c r="B109" s="237" t="s">
        <v>1041</v>
      </c>
      <c r="C109" s="711" t="s">
        <v>1042</v>
      </c>
      <c r="D109" s="714" t="s">
        <v>73</v>
      </c>
      <c r="E109" s="713">
        <f>K36</f>
        <v>0</v>
      </c>
      <c r="F109" s="199"/>
      <c r="G109" s="200">
        <f>E109*F109</f>
        <v>0</v>
      </c>
      <c r="H109" s="211"/>
      <c r="I109" s="85"/>
      <c r="J109" s="210"/>
      <c r="K109" s="210"/>
      <c r="L109" s="211"/>
      <c r="M109" s="211"/>
      <c r="N109" s="212"/>
      <c r="O109" s="794"/>
      <c r="P109" s="806"/>
      <c r="Q109" s="806"/>
      <c r="R109" s="807"/>
      <c r="S109" s="213"/>
      <c r="T109" s="213"/>
    </row>
    <row r="110" spans="1:20" s="204" customFormat="1" ht="29.25" customHeight="1">
      <c r="A110" s="196" t="s">
        <v>1835</v>
      </c>
      <c r="B110" s="197">
        <v>997221861</v>
      </c>
      <c r="C110" s="136" t="s">
        <v>1052</v>
      </c>
      <c r="D110" s="198" t="s">
        <v>73</v>
      </c>
      <c r="E110" s="199">
        <f>K97</f>
        <v>1.584</v>
      </c>
      <c r="F110" s="199"/>
      <c r="G110" s="200">
        <f>E110*F110</f>
        <v>0</v>
      </c>
      <c r="H110" s="85"/>
      <c r="I110" s="85"/>
      <c r="J110" s="201"/>
      <c r="K110" s="201"/>
      <c r="L110" s="85"/>
      <c r="M110" s="85"/>
      <c r="N110" s="202"/>
      <c r="O110" s="794"/>
      <c r="P110" s="806"/>
      <c r="Q110" s="806"/>
      <c r="R110" s="808"/>
      <c r="S110" s="203"/>
      <c r="T110" s="203"/>
    </row>
    <row r="111" spans="1:20" s="204" customFormat="1" ht="29.25" customHeight="1">
      <c r="A111" s="196" t="s">
        <v>1836</v>
      </c>
      <c r="B111" s="197">
        <v>997013871</v>
      </c>
      <c r="C111" s="136" t="s">
        <v>1064</v>
      </c>
      <c r="D111" s="198" t="s">
        <v>73</v>
      </c>
      <c r="E111" s="199">
        <f>K99</f>
        <v>0.47910400000000003</v>
      </c>
      <c r="F111" s="199"/>
      <c r="G111" s="200">
        <f>$E111*F111</f>
        <v>0</v>
      </c>
      <c r="H111" s="85"/>
      <c r="I111" s="85"/>
      <c r="J111" s="201"/>
      <c r="K111" s="201"/>
      <c r="L111" s="85"/>
      <c r="M111" s="85"/>
      <c r="N111" s="202"/>
      <c r="O111" s="794"/>
      <c r="P111" s="806"/>
      <c r="Q111" s="806"/>
      <c r="R111" s="808"/>
      <c r="S111" s="203"/>
      <c r="T111" s="203"/>
    </row>
    <row r="112" spans="1:20" s="204" customFormat="1" ht="34.5" customHeight="1">
      <c r="A112" s="196" t="s">
        <v>1837</v>
      </c>
      <c r="B112" s="237" t="s">
        <v>1043</v>
      </c>
      <c r="C112" s="711" t="s">
        <v>1044</v>
      </c>
      <c r="D112" s="712" t="s">
        <v>73</v>
      </c>
      <c r="E112" s="713">
        <f>SA_S08_Vnější_úpravy!K45+SA_S08_Vnější_úpravy!K47+SA_S08_Vnější_úpravy!K49+K101+SA_S08_Vnější_úpravy!K43</f>
        <v>2.9580199999999994</v>
      </c>
      <c r="F112" s="199"/>
      <c r="G112" s="200">
        <f>E112*F112</f>
        <v>0</v>
      </c>
      <c r="H112" s="85"/>
      <c r="I112" s="85"/>
      <c r="J112" s="201"/>
      <c r="K112" s="201"/>
      <c r="L112" s="85"/>
      <c r="M112" s="85"/>
      <c r="N112" s="202"/>
      <c r="O112" s="794"/>
      <c r="P112" s="806"/>
      <c r="Q112" s="806"/>
      <c r="R112" s="808"/>
      <c r="S112" s="203"/>
      <c r="T112" s="203"/>
    </row>
    <row r="113" spans="1:20" s="204" customFormat="1" ht="34.5" customHeight="1">
      <c r="A113" s="196" t="s">
        <v>1838</v>
      </c>
      <c r="B113" s="237" t="s">
        <v>1110</v>
      </c>
      <c r="C113" s="711" t="s">
        <v>1111</v>
      </c>
      <c r="D113" s="712" t="s">
        <v>73</v>
      </c>
      <c r="E113" s="713">
        <f>K98</f>
        <v>1.4608</v>
      </c>
      <c r="F113" s="199"/>
      <c r="G113" s="200">
        <f>E113*F113</f>
        <v>0</v>
      </c>
      <c r="H113" s="217"/>
      <c r="I113" s="217"/>
      <c r="J113" s="201"/>
      <c r="K113" s="216"/>
      <c r="L113" s="85"/>
      <c r="M113" s="85"/>
      <c r="N113" s="202"/>
      <c r="O113" s="794"/>
      <c r="P113" s="806"/>
      <c r="Q113" s="806"/>
      <c r="R113" s="808"/>
      <c r="S113" s="203"/>
      <c r="T113" s="203"/>
    </row>
    <row r="114" spans="1:20" s="204" customFormat="1" ht="19.5" customHeight="1">
      <c r="A114" s="196"/>
      <c r="B114" s="237"/>
      <c r="C114" s="711"/>
      <c r="D114" s="712"/>
      <c r="E114" s="713"/>
      <c r="F114" s="199"/>
      <c r="G114" s="200"/>
      <c r="H114" s="217"/>
      <c r="I114" s="217"/>
      <c r="J114" s="201"/>
      <c r="K114" s="216"/>
      <c r="L114" s="85"/>
      <c r="M114" s="85"/>
      <c r="N114" s="202"/>
      <c r="O114" s="794"/>
      <c r="P114" s="806"/>
      <c r="Q114" s="806"/>
      <c r="R114" s="808"/>
      <c r="S114" s="203"/>
      <c r="T114" s="203"/>
    </row>
    <row r="115" spans="1:20" s="576" customFormat="1" ht="24" customHeight="1">
      <c r="A115" s="280"/>
      <c r="B115" s="263"/>
      <c r="C115" s="845" t="s">
        <v>1350</v>
      </c>
      <c r="D115" s="843"/>
      <c r="E115" s="844"/>
      <c r="F115" s="574"/>
      <c r="G115" s="575"/>
      <c r="H115" s="264"/>
      <c r="I115" s="264"/>
      <c r="J115" s="285"/>
      <c r="K115" s="216"/>
      <c r="L115" s="264"/>
      <c r="M115" s="264"/>
      <c r="N115" s="265"/>
      <c r="O115" s="794"/>
      <c r="P115" s="806"/>
      <c r="Q115" s="806"/>
      <c r="R115" s="833"/>
      <c r="S115" s="266"/>
      <c r="T115" s="266"/>
    </row>
    <row r="116" spans="1:20" s="204" customFormat="1" ht="13.5" customHeight="1">
      <c r="A116" s="196"/>
      <c r="B116" s="197"/>
      <c r="C116" s="136"/>
      <c r="D116" s="198"/>
      <c r="E116" s="199"/>
      <c r="F116" s="199"/>
      <c r="G116" s="200"/>
      <c r="H116" s="85"/>
      <c r="I116" s="85"/>
      <c r="J116" s="201"/>
      <c r="K116" s="201"/>
      <c r="L116" s="85"/>
      <c r="M116" s="85"/>
      <c r="N116" s="202"/>
      <c r="O116" s="794"/>
      <c r="P116" s="806"/>
      <c r="Q116" s="806"/>
      <c r="R116" s="808"/>
      <c r="S116" s="203"/>
      <c r="T116" s="203"/>
    </row>
    <row r="117" spans="1:20" s="204" customFormat="1" ht="17.25" customHeight="1">
      <c r="A117" s="196" t="s">
        <v>1839</v>
      </c>
      <c r="B117" s="237" t="s">
        <v>1033</v>
      </c>
      <c r="C117" s="711" t="s">
        <v>1034</v>
      </c>
      <c r="D117" s="712" t="s">
        <v>52</v>
      </c>
      <c r="E117" s="713">
        <f>SUM(D118)</f>
        <v>5.499999999999999</v>
      </c>
      <c r="F117" s="199"/>
      <c r="G117" s="200">
        <f>E117*F117</f>
        <v>0</v>
      </c>
      <c r="H117" s="85"/>
      <c r="I117" s="85"/>
      <c r="J117" s="201">
        <v>1.95</v>
      </c>
      <c r="K117" s="201">
        <f>E117*J117</f>
        <v>10.724999999999998</v>
      </c>
      <c r="L117" s="85"/>
      <c r="M117" s="85"/>
      <c r="N117" s="202"/>
      <c r="O117" s="794"/>
      <c r="P117" s="806"/>
      <c r="Q117" s="806"/>
      <c r="R117" s="808"/>
      <c r="S117" s="203"/>
      <c r="T117" s="203"/>
    </row>
    <row r="118" spans="1:20" s="214" customFormat="1" ht="15" customHeight="1">
      <c r="A118" s="196"/>
      <c r="B118" s="205" t="s">
        <v>1047</v>
      </c>
      <c r="C118" s="206" t="s">
        <v>1048</v>
      </c>
      <c r="D118" s="207">
        <f>(0.9+0.6)*2*0.15*12.2+0.01</f>
        <v>5.499999999999999</v>
      </c>
      <c r="E118" s="208"/>
      <c r="F118" s="208"/>
      <c r="G118" s="209"/>
      <c r="H118" s="211"/>
      <c r="I118" s="85"/>
      <c r="J118" s="210"/>
      <c r="K118" s="210"/>
      <c r="L118" s="211"/>
      <c r="M118" s="211"/>
      <c r="N118" s="212"/>
      <c r="O118" s="794"/>
      <c r="P118" s="806"/>
      <c r="Q118" s="806"/>
      <c r="R118" s="807"/>
      <c r="S118" s="213"/>
      <c r="T118" s="213"/>
    </row>
    <row r="119" spans="1:20" s="204" customFormat="1" ht="29.25" customHeight="1">
      <c r="A119" s="196" t="s">
        <v>1840</v>
      </c>
      <c r="B119" s="237" t="s">
        <v>51</v>
      </c>
      <c r="C119" s="711" t="s">
        <v>1035</v>
      </c>
      <c r="D119" s="712" t="s">
        <v>52</v>
      </c>
      <c r="E119" s="713">
        <f>SUM(D120)</f>
        <v>5.805</v>
      </c>
      <c r="F119" s="199"/>
      <c r="G119" s="200">
        <f>E119*F119</f>
        <v>0</v>
      </c>
      <c r="H119" s="85"/>
      <c r="I119" s="85"/>
      <c r="J119" s="201">
        <v>2.2</v>
      </c>
      <c r="K119" s="201">
        <f>E119*J119</f>
        <v>12.771</v>
      </c>
      <c r="L119" s="85"/>
      <c r="M119" s="85"/>
      <c r="N119" s="202"/>
      <c r="O119" s="794"/>
      <c r="P119" s="806"/>
      <c r="Q119" s="806"/>
      <c r="R119" s="808"/>
      <c r="S119" s="203"/>
      <c r="T119" s="203"/>
    </row>
    <row r="120" spans="1:20" s="214" customFormat="1" ht="15" customHeight="1">
      <c r="A120" s="196"/>
      <c r="B120" s="205" t="s">
        <v>1049</v>
      </c>
      <c r="C120" s="206" t="s">
        <v>1050</v>
      </c>
      <c r="D120" s="207">
        <f>(121.5-5.4)*0.05</f>
        <v>5.805</v>
      </c>
      <c r="E120" s="208"/>
      <c r="F120" s="208"/>
      <c r="G120" s="209"/>
      <c r="H120" s="211"/>
      <c r="I120" s="85"/>
      <c r="J120" s="210"/>
      <c r="K120" s="210"/>
      <c r="L120" s="211"/>
      <c r="M120" s="211"/>
      <c r="N120" s="212"/>
      <c r="O120" s="794"/>
      <c r="P120" s="806"/>
      <c r="Q120" s="806"/>
      <c r="R120" s="807"/>
      <c r="S120" s="213"/>
      <c r="T120" s="213"/>
    </row>
    <row r="121" spans="1:20" s="204" customFormat="1" ht="24.75" customHeight="1">
      <c r="A121" s="196" t="s">
        <v>1841</v>
      </c>
      <c r="B121" s="237" t="s">
        <v>1036</v>
      </c>
      <c r="C121" s="711" t="s">
        <v>1037</v>
      </c>
      <c r="D121" s="712" t="s">
        <v>175</v>
      </c>
      <c r="E121" s="713">
        <v>9</v>
      </c>
      <c r="F121" s="199"/>
      <c r="G121" s="200">
        <f>E121*F121</f>
        <v>0</v>
      </c>
      <c r="H121" s="85"/>
      <c r="I121" s="85"/>
      <c r="J121" s="201">
        <v>0.011</v>
      </c>
      <c r="K121" s="201">
        <f>E121*J121</f>
        <v>0.09899999999999999</v>
      </c>
      <c r="L121" s="85"/>
      <c r="M121" s="85"/>
      <c r="N121" s="202"/>
      <c r="O121" s="794"/>
      <c r="P121" s="806"/>
      <c r="Q121" s="806"/>
      <c r="R121" s="808"/>
      <c r="S121" s="203"/>
      <c r="T121" s="203"/>
    </row>
    <row r="122" spans="1:20" s="204" customFormat="1" ht="18" customHeight="1">
      <c r="A122" s="196" t="s">
        <v>1842</v>
      </c>
      <c r="B122" s="197" t="s">
        <v>1058</v>
      </c>
      <c r="C122" s="136" t="s">
        <v>1059</v>
      </c>
      <c r="D122" s="198" t="s">
        <v>46</v>
      </c>
      <c r="E122" s="199">
        <v>369.7</v>
      </c>
      <c r="F122" s="199"/>
      <c r="G122" s="200">
        <f>E122*F122</f>
        <v>0</v>
      </c>
      <c r="H122" s="85"/>
      <c r="I122" s="85"/>
      <c r="J122" s="201">
        <v>0.016</v>
      </c>
      <c r="K122" s="201">
        <f>E122*J122</f>
        <v>5.9152</v>
      </c>
      <c r="L122" s="85"/>
      <c r="M122" s="85"/>
      <c r="N122" s="202"/>
      <c r="O122" s="794"/>
      <c r="P122" s="806"/>
      <c r="Q122" s="806"/>
      <c r="R122" s="808"/>
      <c r="S122" s="203"/>
      <c r="T122" s="203"/>
    </row>
    <row r="123" spans="1:20" s="204" customFormat="1" ht="29.25" customHeight="1">
      <c r="A123" s="196" t="s">
        <v>1843</v>
      </c>
      <c r="B123" s="197" t="s">
        <v>1054</v>
      </c>
      <c r="C123" s="136" t="s">
        <v>1055</v>
      </c>
      <c r="D123" s="198" t="s">
        <v>46</v>
      </c>
      <c r="E123" s="199">
        <v>369.7</v>
      </c>
      <c r="F123" s="199"/>
      <c r="G123" s="200">
        <f>E123*F123</f>
        <v>0</v>
      </c>
      <c r="H123" s="85"/>
      <c r="I123" s="85"/>
      <c r="J123" s="201">
        <v>0.009</v>
      </c>
      <c r="K123" s="201">
        <f>E123*J123</f>
        <v>3.3272999999999997</v>
      </c>
      <c r="L123" s="85"/>
      <c r="M123" s="85"/>
      <c r="N123" s="202"/>
      <c r="O123" s="794"/>
      <c r="P123" s="806"/>
      <c r="Q123" s="806"/>
      <c r="R123" s="808"/>
      <c r="S123" s="203"/>
      <c r="T123" s="203"/>
    </row>
    <row r="124" spans="1:20" s="204" customFormat="1" ht="20.25" customHeight="1">
      <c r="A124" s="196" t="s">
        <v>1844</v>
      </c>
      <c r="B124" s="197">
        <v>968072455</v>
      </c>
      <c r="C124" s="136" t="s">
        <v>1089</v>
      </c>
      <c r="D124" s="198" t="s">
        <v>46</v>
      </c>
      <c r="E124" s="199">
        <f>D125</f>
        <v>1.576</v>
      </c>
      <c r="F124" s="199"/>
      <c r="G124" s="200">
        <f>E124*F124</f>
        <v>0</v>
      </c>
      <c r="H124" s="85"/>
      <c r="I124" s="85"/>
      <c r="J124" s="201">
        <v>0.076</v>
      </c>
      <c r="K124" s="201">
        <f>E124*J124</f>
        <v>0.11977600000000001</v>
      </c>
      <c r="L124" s="85"/>
      <c r="M124" s="85"/>
      <c r="N124" s="202"/>
      <c r="O124" s="794"/>
      <c r="P124" s="806"/>
      <c r="Q124" s="806"/>
      <c r="R124" s="808"/>
      <c r="S124" s="203"/>
      <c r="T124" s="203"/>
    </row>
    <row r="125" spans="1:20" s="214" customFormat="1" ht="15" customHeight="1">
      <c r="A125" s="196"/>
      <c r="B125" s="205" t="s">
        <v>1049</v>
      </c>
      <c r="C125" s="206" t="s">
        <v>1090</v>
      </c>
      <c r="D125" s="207">
        <f>0.8*1.97</f>
        <v>1.576</v>
      </c>
      <c r="E125" s="208"/>
      <c r="F125" s="208"/>
      <c r="G125" s="209"/>
      <c r="H125" s="211"/>
      <c r="I125" s="85"/>
      <c r="J125" s="210"/>
      <c r="K125" s="210"/>
      <c r="L125" s="211"/>
      <c r="M125" s="211"/>
      <c r="N125" s="212"/>
      <c r="O125" s="794"/>
      <c r="P125" s="806"/>
      <c r="Q125" s="806"/>
      <c r="R125" s="807"/>
      <c r="S125" s="213"/>
      <c r="T125" s="213"/>
    </row>
    <row r="126" spans="1:20" s="204" customFormat="1" ht="13.5" customHeight="1">
      <c r="A126" s="196"/>
      <c r="B126" s="197"/>
      <c r="C126" s="136"/>
      <c r="D126" s="198"/>
      <c r="E126" s="199"/>
      <c r="F126" s="199"/>
      <c r="G126" s="200"/>
      <c r="H126" s="85"/>
      <c r="I126" s="85"/>
      <c r="J126" s="201"/>
      <c r="K126" s="201"/>
      <c r="L126" s="85"/>
      <c r="M126" s="85"/>
      <c r="N126" s="202"/>
      <c r="O126" s="794"/>
      <c r="P126" s="806"/>
      <c r="Q126" s="806"/>
      <c r="R126" s="808"/>
      <c r="S126" s="203"/>
      <c r="T126" s="203"/>
    </row>
    <row r="127" spans="1:20" s="576" customFormat="1" ht="15" customHeight="1">
      <c r="A127" s="280"/>
      <c r="B127" s="263" t="s">
        <v>68</v>
      </c>
      <c r="C127" s="215" t="s">
        <v>69</v>
      </c>
      <c r="D127" s="843"/>
      <c r="E127" s="844"/>
      <c r="F127" s="574"/>
      <c r="G127" s="575"/>
      <c r="H127" s="264"/>
      <c r="I127" s="264"/>
      <c r="J127" s="285"/>
      <c r="K127" s="216">
        <f>SUM(K117:K125)</f>
        <v>32.957276</v>
      </c>
      <c r="L127" s="264"/>
      <c r="M127" s="264"/>
      <c r="N127" s="265"/>
      <c r="O127" s="794"/>
      <c r="P127" s="806"/>
      <c r="Q127" s="806"/>
      <c r="R127" s="833"/>
      <c r="S127" s="266"/>
      <c r="T127" s="266"/>
    </row>
    <row r="128" spans="1:20" s="204" customFormat="1" ht="36.75" customHeight="1">
      <c r="A128" s="196" t="s">
        <v>1845</v>
      </c>
      <c r="B128" s="237" t="s">
        <v>1038</v>
      </c>
      <c r="C128" s="711" t="s">
        <v>1039</v>
      </c>
      <c r="D128" s="712" t="s">
        <v>73</v>
      </c>
      <c r="E128" s="713">
        <v>32.96</v>
      </c>
      <c r="F128" s="199"/>
      <c r="G128" s="200">
        <f>E128*F128</f>
        <v>0</v>
      </c>
      <c r="H128" s="85"/>
      <c r="I128" s="85"/>
      <c r="J128" s="201"/>
      <c r="K128" s="201"/>
      <c r="L128" s="85"/>
      <c r="M128" s="85"/>
      <c r="N128" s="202"/>
      <c r="O128" s="794"/>
      <c r="P128" s="806"/>
      <c r="Q128" s="806"/>
      <c r="R128" s="808"/>
      <c r="S128" s="203"/>
      <c r="T128" s="203"/>
    </row>
    <row r="129" spans="1:20" s="204" customFormat="1" ht="22.5" customHeight="1">
      <c r="A129" s="196" t="s">
        <v>1846</v>
      </c>
      <c r="B129" s="197" t="s">
        <v>71</v>
      </c>
      <c r="C129" s="136" t="s">
        <v>72</v>
      </c>
      <c r="D129" s="198" t="s">
        <v>73</v>
      </c>
      <c r="E129" s="199">
        <f>E128</f>
        <v>32.96</v>
      </c>
      <c r="F129" s="199"/>
      <c r="G129" s="200">
        <f>E129*F129</f>
        <v>0</v>
      </c>
      <c r="H129" s="85"/>
      <c r="I129" s="85"/>
      <c r="J129" s="201"/>
      <c r="K129" s="201"/>
      <c r="L129" s="85"/>
      <c r="M129" s="85"/>
      <c r="N129" s="202"/>
      <c r="O129" s="794"/>
      <c r="P129" s="806"/>
      <c r="Q129" s="806"/>
      <c r="R129" s="808"/>
      <c r="S129" s="203"/>
      <c r="T129" s="203"/>
    </row>
    <row r="130" spans="1:20" s="214" customFormat="1" ht="36.75" customHeight="1">
      <c r="A130" s="196" t="s">
        <v>1847</v>
      </c>
      <c r="B130" s="237" t="s">
        <v>75</v>
      </c>
      <c r="C130" s="711" t="s">
        <v>1040</v>
      </c>
      <c r="D130" s="714" t="s">
        <v>73</v>
      </c>
      <c r="E130" s="713">
        <f>E128</f>
        <v>32.96</v>
      </c>
      <c r="F130" s="199"/>
      <c r="G130" s="200">
        <f>E130*F130</f>
        <v>0</v>
      </c>
      <c r="H130" s="211"/>
      <c r="I130" s="85"/>
      <c r="J130" s="210"/>
      <c r="K130" s="210"/>
      <c r="L130" s="211"/>
      <c r="M130" s="211"/>
      <c r="N130" s="212"/>
      <c r="O130" s="794"/>
      <c r="P130" s="806"/>
      <c r="Q130" s="806"/>
      <c r="R130" s="807"/>
      <c r="S130" s="213"/>
      <c r="T130" s="213"/>
    </row>
    <row r="131" spans="1:20" s="204" customFormat="1" ht="29.25" customHeight="1">
      <c r="A131" s="196" t="s">
        <v>1848</v>
      </c>
      <c r="B131" s="237" t="s">
        <v>78</v>
      </c>
      <c r="C131" s="711" t="s">
        <v>1051</v>
      </c>
      <c r="D131" s="712" t="s">
        <v>73</v>
      </c>
      <c r="E131" s="713">
        <f>SUM(D132)</f>
        <v>329.6</v>
      </c>
      <c r="F131" s="199"/>
      <c r="G131" s="200">
        <f>E131*F131</f>
        <v>0</v>
      </c>
      <c r="H131" s="85"/>
      <c r="I131" s="85"/>
      <c r="J131" s="201"/>
      <c r="K131" s="201"/>
      <c r="L131" s="85"/>
      <c r="M131" s="85"/>
      <c r="N131" s="202"/>
      <c r="O131" s="794"/>
      <c r="P131" s="806"/>
      <c r="Q131" s="806"/>
      <c r="R131" s="808"/>
      <c r="S131" s="203"/>
      <c r="T131" s="203"/>
    </row>
    <row r="132" spans="1:20" s="214" customFormat="1" ht="15" customHeight="1">
      <c r="A132" s="196"/>
      <c r="B132" s="205" t="s">
        <v>1049</v>
      </c>
      <c r="C132" s="206" t="s">
        <v>1091</v>
      </c>
      <c r="D132" s="207">
        <f>32.96*10</f>
        <v>329.6</v>
      </c>
      <c r="E132" s="208"/>
      <c r="F132" s="208"/>
      <c r="G132" s="209"/>
      <c r="H132" s="211"/>
      <c r="I132" s="85"/>
      <c r="J132" s="210"/>
      <c r="K132" s="210"/>
      <c r="L132" s="211"/>
      <c r="M132" s="211"/>
      <c r="N132" s="212"/>
      <c r="O132" s="794"/>
      <c r="P132" s="806"/>
      <c r="Q132" s="806"/>
      <c r="R132" s="807"/>
      <c r="S132" s="213"/>
      <c r="T132" s="213"/>
    </row>
    <row r="133" spans="1:20" s="214" customFormat="1" ht="30" customHeight="1">
      <c r="A133" s="196" t="s">
        <v>1849</v>
      </c>
      <c r="B133" s="237" t="s">
        <v>1041</v>
      </c>
      <c r="C133" s="711" t="s">
        <v>1042</v>
      </c>
      <c r="D133" s="714" t="s">
        <v>73</v>
      </c>
      <c r="E133" s="713">
        <f>K117</f>
        <v>10.724999999999998</v>
      </c>
      <c r="F133" s="199"/>
      <c r="G133" s="200">
        <f>E133*F133</f>
        <v>0</v>
      </c>
      <c r="H133" s="211"/>
      <c r="I133" s="85"/>
      <c r="J133" s="210"/>
      <c r="K133" s="210"/>
      <c r="L133" s="211"/>
      <c r="M133" s="211"/>
      <c r="N133" s="212"/>
      <c r="O133" s="794"/>
      <c r="P133" s="806"/>
      <c r="Q133" s="806"/>
      <c r="R133" s="807"/>
      <c r="S133" s="213"/>
      <c r="T133" s="213"/>
    </row>
    <row r="134" spans="1:20" s="204" customFormat="1" ht="29.25" customHeight="1">
      <c r="A134" s="196" t="s">
        <v>1850</v>
      </c>
      <c r="B134" s="197">
        <v>997221861</v>
      </c>
      <c r="C134" s="136" t="s">
        <v>1052</v>
      </c>
      <c r="D134" s="198" t="s">
        <v>73</v>
      </c>
      <c r="E134" s="199">
        <f>K119</f>
        <v>12.771</v>
      </c>
      <c r="F134" s="199"/>
      <c r="G134" s="200">
        <f>E134*F134</f>
        <v>0</v>
      </c>
      <c r="H134" s="85"/>
      <c r="I134" s="85"/>
      <c r="J134" s="201"/>
      <c r="K134" s="201"/>
      <c r="L134" s="85"/>
      <c r="M134" s="85"/>
      <c r="N134" s="202"/>
      <c r="O134" s="794"/>
      <c r="P134" s="806"/>
      <c r="Q134" s="806"/>
      <c r="R134" s="808"/>
      <c r="S134" s="203"/>
      <c r="T134" s="203"/>
    </row>
    <row r="135" spans="1:20" s="204" customFormat="1" ht="29.25" customHeight="1">
      <c r="A135" s="196" t="s">
        <v>1851</v>
      </c>
      <c r="B135" s="197">
        <v>997013871</v>
      </c>
      <c r="C135" s="136" t="s">
        <v>1064</v>
      </c>
      <c r="D135" s="198" t="s">
        <v>73</v>
      </c>
      <c r="E135" s="199">
        <f>K121+K124</f>
        <v>0.218776</v>
      </c>
      <c r="F135" s="199"/>
      <c r="G135" s="200">
        <f>$E135*F135</f>
        <v>0</v>
      </c>
      <c r="H135" s="85"/>
      <c r="I135" s="85"/>
      <c r="J135" s="201"/>
      <c r="K135" s="201"/>
      <c r="L135" s="85"/>
      <c r="M135" s="85"/>
      <c r="N135" s="202"/>
      <c r="O135" s="794"/>
      <c r="P135" s="806"/>
      <c r="Q135" s="806"/>
      <c r="R135" s="808"/>
      <c r="S135" s="203"/>
      <c r="T135" s="203"/>
    </row>
    <row r="136" spans="1:20" s="204" customFormat="1" ht="34.5" customHeight="1">
      <c r="A136" s="196" t="s">
        <v>2008</v>
      </c>
      <c r="B136" s="237" t="s">
        <v>1043</v>
      </c>
      <c r="C136" s="711" t="s">
        <v>1044</v>
      </c>
      <c r="D136" s="712" t="s">
        <v>73</v>
      </c>
      <c r="E136" s="713">
        <f>K122</f>
        <v>5.9152</v>
      </c>
      <c r="F136" s="199"/>
      <c r="G136" s="200">
        <f>E136*F136</f>
        <v>0</v>
      </c>
      <c r="H136" s="85"/>
      <c r="I136" s="85"/>
      <c r="J136" s="201"/>
      <c r="K136" s="201"/>
      <c r="L136" s="85"/>
      <c r="M136" s="85"/>
      <c r="N136" s="202"/>
      <c r="O136" s="794"/>
      <c r="P136" s="806"/>
      <c r="Q136" s="806"/>
      <c r="R136" s="808"/>
      <c r="S136" s="203"/>
      <c r="T136" s="203"/>
    </row>
    <row r="137" spans="1:20" s="204" customFormat="1" ht="34.5" customHeight="1">
      <c r="A137" s="196" t="s">
        <v>2009</v>
      </c>
      <c r="B137" s="237" t="s">
        <v>1045</v>
      </c>
      <c r="C137" s="711" t="s">
        <v>1046</v>
      </c>
      <c r="D137" s="712" t="s">
        <v>73</v>
      </c>
      <c r="E137" s="713">
        <f>K123</f>
        <v>3.3272999999999997</v>
      </c>
      <c r="F137" s="199"/>
      <c r="G137" s="200">
        <f>E137*F137</f>
        <v>0</v>
      </c>
      <c r="H137" s="217"/>
      <c r="I137" s="217"/>
      <c r="J137" s="201"/>
      <c r="K137" s="216"/>
      <c r="L137" s="85"/>
      <c r="M137" s="85"/>
      <c r="N137" s="202"/>
      <c r="O137" s="794"/>
      <c r="P137" s="806"/>
      <c r="Q137" s="806"/>
      <c r="R137" s="808"/>
      <c r="S137" s="203"/>
      <c r="T137" s="203"/>
    </row>
    <row r="138" spans="1:7" ht="14" thickBot="1">
      <c r="A138" s="218"/>
      <c r="B138" s="412"/>
      <c r="C138" s="220"/>
      <c r="D138" s="221"/>
      <c r="E138" s="413"/>
      <c r="F138" s="414"/>
      <c r="G138" s="415"/>
    </row>
    <row r="139" spans="1:7" ht="19.5" customHeight="1" thickBot="1">
      <c r="A139" s="225"/>
      <c r="B139" s="226"/>
      <c r="C139" s="227" t="s">
        <v>113</v>
      </c>
      <c r="D139" s="226"/>
      <c r="E139" s="416"/>
      <c r="F139" s="417"/>
      <c r="G139" s="230">
        <f>SUBTOTAL(9,G37:G138)</f>
        <v>0</v>
      </c>
    </row>
    <row r="140" spans="1:7" ht="13" thickBot="1">
      <c r="A140" s="179"/>
      <c r="B140" s="180"/>
      <c r="C140" s="180"/>
      <c r="D140" s="180"/>
      <c r="E140" s="180"/>
      <c r="F140" s="180"/>
      <c r="G140" s="396"/>
    </row>
    <row r="141" spans="1:20" ht="17.25" customHeight="1" thickBot="1">
      <c r="A141" s="182" t="s">
        <v>100</v>
      </c>
      <c r="B141" s="183"/>
      <c r="C141" s="184" t="s">
        <v>1185</v>
      </c>
      <c r="D141" s="185"/>
      <c r="E141" s="186"/>
      <c r="F141" s="187"/>
      <c r="G141" s="188"/>
      <c r="H141" s="77"/>
      <c r="I141" s="77"/>
      <c r="J141" s="77"/>
      <c r="K141" s="77"/>
      <c r="L141" s="77"/>
      <c r="M141" s="77"/>
      <c r="N141" s="78"/>
      <c r="R141" s="809"/>
      <c r="S141" s="79"/>
      <c r="T141" s="79"/>
    </row>
    <row r="142" spans="1:20" ht="12.75">
      <c r="A142" s="189"/>
      <c r="B142" s="231"/>
      <c r="C142" s="232"/>
      <c r="D142" s="233"/>
      <c r="E142" s="234"/>
      <c r="F142" s="235"/>
      <c r="G142" s="236"/>
      <c r="H142" s="77"/>
      <c r="I142" s="77"/>
      <c r="J142" s="77"/>
      <c r="K142" s="77"/>
      <c r="L142" s="77"/>
      <c r="M142" s="77"/>
      <c r="N142" s="78"/>
      <c r="R142" s="809"/>
      <c r="S142" s="79"/>
      <c r="T142" s="79"/>
    </row>
    <row r="143" spans="1:20" s="204" customFormat="1" ht="24" customHeight="1">
      <c r="A143" s="268" t="s">
        <v>115</v>
      </c>
      <c r="B143" s="197" t="s">
        <v>1404</v>
      </c>
      <c r="C143" s="136" t="s">
        <v>1405</v>
      </c>
      <c r="D143" s="198" t="s">
        <v>52</v>
      </c>
      <c r="E143" s="199">
        <f>SUM(D144)</f>
        <v>7.5</v>
      </c>
      <c r="F143" s="199"/>
      <c r="G143" s="240">
        <f>$E143*F143</f>
        <v>0</v>
      </c>
      <c r="H143" s="201">
        <v>2.16</v>
      </c>
      <c r="I143" s="242">
        <f>E143*H143</f>
        <v>16.200000000000003</v>
      </c>
      <c r="J143" s="243">
        <v>0</v>
      </c>
      <c r="K143" s="241">
        <f>E143*J143</f>
        <v>0</v>
      </c>
      <c r="L143" s="85"/>
      <c r="M143" s="85"/>
      <c r="N143" s="202"/>
      <c r="O143" s="794"/>
      <c r="P143" s="806"/>
      <c r="Q143" s="806"/>
      <c r="R143" s="808"/>
      <c r="S143" s="203"/>
      <c r="T143" s="203"/>
    </row>
    <row r="144" spans="1:20" s="214" customFormat="1" ht="15" customHeight="1">
      <c r="A144" s="196"/>
      <c r="B144" s="205"/>
      <c r="C144" s="206" t="s">
        <v>1764</v>
      </c>
      <c r="D144" s="207">
        <f>74.8*0.1+0.02</f>
        <v>7.5</v>
      </c>
      <c r="E144" s="208"/>
      <c r="F144" s="208"/>
      <c r="G144" s="209"/>
      <c r="H144" s="210"/>
      <c r="I144" s="210"/>
      <c r="J144" s="211"/>
      <c r="K144" s="85"/>
      <c r="L144" s="211"/>
      <c r="M144" s="211"/>
      <c r="N144" s="212"/>
      <c r="O144" s="794"/>
      <c r="P144" s="806"/>
      <c r="Q144" s="806"/>
      <c r="R144" s="807"/>
      <c r="S144" s="213"/>
      <c r="T144" s="213"/>
    </row>
    <row r="145" spans="1:20" s="204" customFormat="1" ht="24" customHeight="1">
      <c r="A145" s="268" t="s">
        <v>117</v>
      </c>
      <c r="B145" s="197" t="s">
        <v>1406</v>
      </c>
      <c r="C145" s="136" t="s">
        <v>1407</v>
      </c>
      <c r="D145" s="198" t="s">
        <v>46</v>
      </c>
      <c r="E145" s="199">
        <f>SUM(D146)</f>
        <v>82.3</v>
      </c>
      <c r="F145" s="199"/>
      <c r="G145" s="240">
        <f>$E145*F145</f>
        <v>0</v>
      </c>
      <c r="H145" s="201">
        <v>0.0001</v>
      </c>
      <c r="I145" s="242">
        <f>E145*H145</f>
        <v>0.00823</v>
      </c>
      <c r="J145" s="243">
        <v>0</v>
      </c>
      <c r="K145" s="241">
        <f>E145*J145</f>
        <v>0</v>
      </c>
      <c r="L145" s="85"/>
      <c r="M145" s="85"/>
      <c r="N145" s="202"/>
      <c r="O145" s="794"/>
      <c r="P145" s="806"/>
      <c r="Q145" s="806"/>
      <c r="R145" s="808"/>
      <c r="S145" s="203"/>
      <c r="T145" s="203"/>
    </row>
    <row r="146" spans="1:20" s="214" customFormat="1" ht="15" customHeight="1">
      <c r="A146" s="196"/>
      <c r="B146" s="205"/>
      <c r="C146" s="206" t="s">
        <v>1765</v>
      </c>
      <c r="D146" s="207">
        <f>74.8*1.1+0.02</f>
        <v>82.3</v>
      </c>
      <c r="E146" s="208"/>
      <c r="F146" s="208"/>
      <c r="G146" s="209"/>
      <c r="H146" s="210"/>
      <c r="I146" s="210"/>
      <c r="J146" s="211"/>
      <c r="K146" s="85"/>
      <c r="L146" s="211"/>
      <c r="M146" s="211"/>
      <c r="N146" s="212"/>
      <c r="O146" s="794"/>
      <c r="P146" s="806"/>
      <c r="Q146" s="806"/>
      <c r="R146" s="807"/>
      <c r="S146" s="213"/>
      <c r="T146" s="213"/>
    </row>
    <row r="147" spans="1:20" s="204" customFormat="1" ht="24" customHeight="1">
      <c r="A147" s="268" t="s">
        <v>119</v>
      </c>
      <c r="B147" s="197" t="s">
        <v>1408</v>
      </c>
      <c r="C147" s="136" t="s">
        <v>1409</v>
      </c>
      <c r="D147" s="198" t="s">
        <v>46</v>
      </c>
      <c r="E147" s="199">
        <f>SUM(D148)</f>
        <v>86</v>
      </c>
      <c r="F147" s="199"/>
      <c r="G147" s="240">
        <f>$E147*F147</f>
        <v>0</v>
      </c>
      <c r="H147" s="201">
        <v>0.00029625</v>
      </c>
      <c r="I147" s="242">
        <f>E147*H147</f>
        <v>0.0254775</v>
      </c>
      <c r="J147" s="243">
        <v>0</v>
      </c>
      <c r="K147" s="241">
        <f>E147*J147</f>
        <v>0</v>
      </c>
      <c r="L147" s="85"/>
      <c r="M147" s="85"/>
      <c r="N147" s="202"/>
      <c r="O147" s="794"/>
      <c r="P147" s="806"/>
      <c r="Q147" s="806"/>
      <c r="R147" s="808"/>
      <c r="S147" s="203"/>
      <c r="T147" s="203"/>
    </row>
    <row r="148" spans="1:20" s="214" customFormat="1" ht="15" customHeight="1">
      <c r="A148" s="196"/>
      <c r="B148" s="205"/>
      <c r="C148" s="206" t="s">
        <v>1766</v>
      </c>
      <c r="D148" s="207">
        <f>74.8*1.15-0.02</f>
        <v>86</v>
      </c>
      <c r="E148" s="208"/>
      <c r="F148" s="208"/>
      <c r="G148" s="209"/>
      <c r="H148" s="210"/>
      <c r="I148" s="210"/>
      <c r="J148" s="211"/>
      <c r="K148" s="85"/>
      <c r="L148" s="211"/>
      <c r="M148" s="211"/>
      <c r="N148" s="212"/>
      <c r="O148" s="794"/>
      <c r="P148" s="806"/>
      <c r="Q148" s="806"/>
      <c r="R148" s="807"/>
      <c r="S148" s="213"/>
      <c r="T148" s="213"/>
    </row>
    <row r="149" spans="1:20" s="204" customFormat="1" ht="30" customHeight="1">
      <c r="A149" s="268" t="s">
        <v>295</v>
      </c>
      <c r="B149" s="197" t="s">
        <v>1410</v>
      </c>
      <c r="C149" s="136" t="s">
        <v>1434</v>
      </c>
      <c r="D149" s="198" t="s">
        <v>52</v>
      </c>
      <c r="E149" s="199">
        <f>SUM(D150)</f>
        <v>7.5</v>
      </c>
      <c r="F149" s="199"/>
      <c r="G149" s="240">
        <f>$E149*F149</f>
        <v>0</v>
      </c>
      <c r="H149" s="201">
        <v>2.45329</v>
      </c>
      <c r="I149" s="242">
        <f>E149*H149</f>
        <v>18.399675</v>
      </c>
      <c r="J149" s="243">
        <v>0</v>
      </c>
      <c r="K149" s="241">
        <f>E149*J149</f>
        <v>0</v>
      </c>
      <c r="L149" s="85"/>
      <c r="M149" s="85"/>
      <c r="N149" s="202"/>
      <c r="O149" s="794"/>
      <c r="P149" s="806"/>
      <c r="Q149" s="806"/>
      <c r="R149" s="808"/>
      <c r="S149" s="203"/>
      <c r="T149" s="203"/>
    </row>
    <row r="150" spans="1:20" s="214" customFormat="1" ht="15" customHeight="1">
      <c r="A150" s="196"/>
      <c r="B150" s="205"/>
      <c r="C150" s="206" t="s">
        <v>1764</v>
      </c>
      <c r="D150" s="207">
        <f>74.8*0.1+0.02</f>
        <v>7.5</v>
      </c>
      <c r="E150" s="208"/>
      <c r="F150" s="208"/>
      <c r="G150" s="209"/>
      <c r="H150" s="210"/>
      <c r="I150" s="210"/>
      <c r="J150" s="211"/>
      <c r="K150" s="85"/>
      <c r="L150" s="211"/>
      <c r="M150" s="211"/>
      <c r="N150" s="212"/>
      <c r="O150" s="794"/>
      <c r="P150" s="806"/>
      <c r="Q150" s="806"/>
      <c r="R150" s="807"/>
      <c r="S150" s="213"/>
      <c r="T150" s="213"/>
    </row>
    <row r="151" spans="1:20" s="204" customFormat="1" ht="24" customHeight="1">
      <c r="A151" s="268" t="s">
        <v>299</v>
      </c>
      <c r="B151" s="197" t="s">
        <v>1183</v>
      </c>
      <c r="C151" s="136" t="s">
        <v>1184</v>
      </c>
      <c r="D151" s="198" t="s">
        <v>73</v>
      </c>
      <c r="E151" s="199">
        <f>SUM(D152)</f>
        <v>0.46495679999999995</v>
      </c>
      <c r="F151" s="199"/>
      <c r="G151" s="240">
        <f>$E151*F151</f>
        <v>0</v>
      </c>
      <c r="H151" s="201">
        <v>1.06277</v>
      </c>
      <c r="I151" s="242">
        <f>E151*H151</f>
        <v>0.49414213833599996</v>
      </c>
      <c r="J151" s="243">
        <v>0</v>
      </c>
      <c r="K151" s="241">
        <f>E151*J151</f>
        <v>0</v>
      </c>
      <c r="L151" s="85"/>
      <c r="M151" s="85"/>
      <c r="N151" s="202"/>
      <c r="O151" s="794"/>
      <c r="P151" s="806"/>
      <c r="Q151" s="806"/>
      <c r="R151" s="808"/>
      <c r="S151" s="203"/>
      <c r="T151" s="203"/>
    </row>
    <row r="152" spans="1:20" s="214" customFormat="1" ht="15" customHeight="1">
      <c r="A152" s="196"/>
      <c r="B152" s="205"/>
      <c r="C152" s="206" t="s">
        <v>1767</v>
      </c>
      <c r="D152" s="207">
        <f>74.8*5.18*1.2*0.001</f>
        <v>0.46495679999999995</v>
      </c>
      <c r="E152" s="208"/>
      <c r="F152" s="208"/>
      <c r="G152" s="209"/>
      <c r="H152" s="210"/>
      <c r="I152" s="210"/>
      <c r="J152" s="211"/>
      <c r="K152" s="85"/>
      <c r="L152" s="211"/>
      <c r="M152" s="211"/>
      <c r="N152" s="212"/>
      <c r="O152" s="794"/>
      <c r="P152" s="806"/>
      <c r="Q152" s="806"/>
      <c r="R152" s="807"/>
      <c r="S152" s="213"/>
      <c r="T152" s="213"/>
    </row>
    <row r="153" spans="1:20" ht="14" thickBot="1">
      <c r="A153" s="218"/>
      <c r="B153" s="219"/>
      <c r="C153" s="220"/>
      <c r="D153" s="221"/>
      <c r="E153" s="222"/>
      <c r="F153" s="223"/>
      <c r="G153" s="224"/>
      <c r="H153" s="77"/>
      <c r="I153" s="77"/>
      <c r="J153" s="77"/>
      <c r="K153" s="77"/>
      <c r="L153" s="77"/>
      <c r="M153" s="77"/>
      <c r="N153" s="78"/>
      <c r="R153" s="809"/>
      <c r="S153" s="79"/>
      <c r="T153" s="79"/>
    </row>
    <row r="154" spans="1:20" ht="13" thickBot="1">
      <c r="A154" s="225"/>
      <c r="B154" s="226"/>
      <c r="C154" s="227" t="s">
        <v>113</v>
      </c>
      <c r="D154" s="226"/>
      <c r="E154" s="228"/>
      <c r="F154" s="229"/>
      <c r="G154" s="230">
        <f>SUBTOTAL(9,G142:G153)</f>
        <v>0</v>
      </c>
      <c r="H154" s="77"/>
      <c r="I154" s="77"/>
      <c r="J154" s="77"/>
      <c r="K154" s="77"/>
      <c r="L154" s="77"/>
      <c r="M154" s="77"/>
      <c r="N154" s="78"/>
      <c r="R154" s="809"/>
      <c r="S154" s="79"/>
      <c r="T154" s="79"/>
    </row>
    <row r="155" spans="1:20" ht="13" thickBot="1">
      <c r="A155" s="179"/>
      <c r="B155" s="180"/>
      <c r="C155" s="180"/>
      <c r="D155" s="180"/>
      <c r="E155" s="180"/>
      <c r="F155" s="180"/>
      <c r="G155" s="181"/>
      <c r="H155" s="77"/>
      <c r="I155" s="77"/>
      <c r="J155" s="77"/>
      <c r="K155" s="77"/>
      <c r="L155" s="77"/>
      <c r="M155" s="77"/>
      <c r="N155" s="78"/>
      <c r="R155" s="809"/>
      <c r="S155" s="79"/>
      <c r="T155" s="79"/>
    </row>
    <row r="156" spans="1:7" ht="17.25" customHeight="1" thickBot="1">
      <c r="A156" s="182" t="s">
        <v>121</v>
      </c>
      <c r="B156" s="183"/>
      <c r="C156" s="184" t="s">
        <v>114</v>
      </c>
      <c r="D156" s="397"/>
      <c r="E156" s="398"/>
      <c r="F156" s="187"/>
      <c r="G156" s="399"/>
    </row>
    <row r="157" spans="1:7" ht="12.75">
      <c r="A157" s="189"/>
      <c r="B157" s="400"/>
      <c r="C157" s="232"/>
      <c r="D157" s="233"/>
      <c r="E157" s="401"/>
      <c r="F157" s="402"/>
      <c r="G157" s="403"/>
    </row>
    <row r="158" spans="1:20" s="204" customFormat="1" ht="29.25" customHeight="1">
      <c r="A158" s="196" t="s">
        <v>123</v>
      </c>
      <c r="B158" s="197">
        <v>319202214</v>
      </c>
      <c r="C158" s="136" t="s">
        <v>1403</v>
      </c>
      <c r="D158" s="198" t="s">
        <v>116</v>
      </c>
      <c r="E158" s="199">
        <f>SUM(D159)</f>
        <v>31.300000000000004</v>
      </c>
      <c r="F158" s="199"/>
      <c r="G158" s="200">
        <f>E158*F158</f>
        <v>0</v>
      </c>
      <c r="H158" s="201">
        <v>0.00122</v>
      </c>
      <c r="I158" s="201">
        <f>E158*H158</f>
        <v>0.038186000000000005</v>
      </c>
      <c r="J158" s="85">
        <v>4E-05</v>
      </c>
      <c r="K158" s="85">
        <f>E158*J158</f>
        <v>0.0012520000000000003</v>
      </c>
      <c r="L158" s="85"/>
      <c r="M158" s="85"/>
      <c r="N158" s="202"/>
      <c r="O158" s="794"/>
      <c r="P158" s="806"/>
      <c r="Q158" s="806"/>
      <c r="R158" s="808"/>
      <c r="S158" s="203"/>
      <c r="T158" s="203"/>
    </row>
    <row r="159" spans="1:18" s="251" customFormat="1" ht="17.25" customHeight="1">
      <c r="A159" s="196"/>
      <c r="B159" s="205"/>
      <c r="C159" s="245" t="s">
        <v>2180</v>
      </c>
      <c r="D159" s="246">
        <f>10.3+2.3+2.6+16.1</f>
        <v>31.300000000000004</v>
      </c>
      <c r="E159" s="247"/>
      <c r="F159" s="247"/>
      <c r="G159" s="248"/>
      <c r="H159" s="249"/>
      <c r="I159" s="250"/>
      <c r="J159" s="250"/>
      <c r="K159" s="250"/>
      <c r="L159" s="250"/>
      <c r="O159" s="796"/>
      <c r="P159" s="811"/>
      <c r="Q159" s="811"/>
      <c r="R159" s="812"/>
    </row>
    <row r="160" spans="1:20" s="204" customFormat="1" ht="22.5" customHeight="1">
      <c r="A160" s="196" t="s">
        <v>124</v>
      </c>
      <c r="B160" s="663">
        <v>342272235</v>
      </c>
      <c r="C160" s="666" t="s">
        <v>1768</v>
      </c>
      <c r="D160" s="664" t="s">
        <v>46</v>
      </c>
      <c r="E160" s="665">
        <f>SUM(D161)</f>
        <v>25.395999999999997</v>
      </c>
      <c r="F160" s="665"/>
      <c r="G160" s="200">
        <f>E160*F160</f>
        <v>0</v>
      </c>
      <c r="H160" s="201">
        <v>0.06688</v>
      </c>
      <c r="I160" s="201">
        <f>E160*H160</f>
        <v>1.6984844799999996</v>
      </c>
      <c r="J160" s="85">
        <v>0</v>
      </c>
      <c r="K160" s="85">
        <f>E160*J160</f>
        <v>0</v>
      </c>
      <c r="L160" s="85"/>
      <c r="M160" s="85"/>
      <c r="N160" s="202"/>
      <c r="O160" s="794"/>
      <c r="P160" s="806"/>
      <c r="Q160" s="806"/>
      <c r="R160" s="808"/>
      <c r="S160" s="203"/>
      <c r="T160" s="203"/>
    </row>
    <row r="161" spans="1:18" s="251" customFormat="1" ht="17.25" customHeight="1">
      <c r="A161" s="196"/>
      <c r="B161" s="205"/>
      <c r="C161" s="245" t="s">
        <v>1769</v>
      </c>
      <c r="D161" s="246">
        <f>(2.1+1.9+3.3+1.4+1.9)*2.8-0.7*1.97*2-0.8*1.97+0.05</f>
        <v>25.395999999999997</v>
      </c>
      <c r="E161" s="247"/>
      <c r="F161" s="247"/>
      <c r="G161" s="248"/>
      <c r="H161" s="249"/>
      <c r="I161" s="250"/>
      <c r="J161" s="250"/>
      <c r="K161" s="250"/>
      <c r="L161" s="250"/>
      <c r="O161" s="796"/>
      <c r="P161" s="811"/>
      <c r="Q161" s="811"/>
      <c r="R161" s="812"/>
    </row>
    <row r="162" spans="1:18" s="244" customFormat="1" ht="21.75" customHeight="1">
      <c r="A162" s="196" t="s">
        <v>125</v>
      </c>
      <c r="B162" s="237">
        <v>342272225</v>
      </c>
      <c r="C162" s="238" t="s">
        <v>118</v>
      </c>
      <c r="D162" s="197" t="s">
        <v>46</v>
      </c>
      <c r="E162" s="239">
        <f>SUM(D163)</f>
        <v>26.302999999999997</v>
      </c>
      <c r="F162" s="239"/>
      <c r="G162" s="240">
        <f>$E162*F162</f>
        <v>0</v>
      </c>
      <c r="H162" s="241">
        <v>0.05897</v>
      </c>
      <c r="I162" s="242">
        <f>E162*H162</f>
        <v>1.55108791</v>
      </c>
      <c r="J162" s="243">
        <v>0</v>
      </c>
      <c r="K162" s="241">
        <f>E162*J162</f>
        <v>0</v>
      </c>
      <c r="L162" s="241"/>
      <c r="O162" s="796"/>
      <c r="P162" s="811"/>
      <c r="Q162" s="811"/>
      <c r="R162" s="818"/>
    </row>
    <row r="163" spans="1:18" s="251" customFormat="1" ht="17.25" customHeight="1">
      <c r="A163" s="196"/>
      <c r="B163" s="205"/>
      <c r="C163" s="245" t="s">
        <v>1770</v>
      </c>
      <c r="D163" s="246">
        <f>(2.1*4+1.1)*2.8+1.88*2-0.7*1.97*3+0.08</f>
        <v>26.302999999999997</v>
      </c>
      <c r="E163" s="247"/>
      <c r="F163" s="247"/>
      <c r="G163" s="248"/>
      <c r="H163" s="249"/>
      <c r="I163" s="250"/>
      <c r="J163" s="250"/>
      <c r="K163" s="250"/>
      <c r="L163" s="250"/>
      <c r="O163" s="796"/>
      <c r="P163" s="811"/>
      <c r="Q163" s="811"/>
      <c r="R163" s="812"/>
    </row>
    <row r="164" spans="1:18" s="244" customFormat="1" ht="31.5" customHeight="1">
      <c r="A164" s="196" t="s">
        <v>126</v>
      </c>
      <c r="B164" s="237">
        <v>317142420</v>
      </c>
      <c r="C164" s="238" t="s">
        <v>1772</v>
      </c>
      <c r="D164" s="197" t="s">
        <v>158</v>
      </c>
      <c r="E164" s="239">
        <f>SUM(D165)</f>
        <v>3</v>
      </c>
      <c r="F164" s="239"/>
      <c r="G164" s="240">
        <f>$E164*F164</f>
        <v>0</v>
      </c>
      <c r="H164" s="241">
        <v>0.02228</v>
      </c>
      <c r="I164" s="242">
        <f>E164*H164</f>
        <v>0.06684000000000001</v>
      </c>
      <c r="J164" s="243">
        <v>0</v>
      </c>
      <c r="K164" s="241">
        <f>E164*J164</f>
        <v>0</v>
      </c>
      <c r="L164" s="241"/>
      <c r="O164" s="796"/>
      <c r="P164" s="811"/>
      <c r="Q164" s="811"/>
      <c r="R164" s="818"/>
    </row>
    <row r="165" spans="1:18" s="251" customFormat="1" ht="17.25" customHeight="1">
      <c r="A165" s="196"/>
      <c r="B165" s="725"/>
      <c r="C165" s="726" t="s">
        <v>1773</v>
      </c>
      <c r="D165" s="727">
        <f>1+1+1</f>
        <v>3</v>
      </c>
      <c r="E165" s="728"/>
      <c r="F165" s="728"/>
      <c r="G165" s="729"/>
      <c r="H165" s="249"/>
      <c r="I165" s="250"/>
      <c r="J165" s="250"/>
      <c r="K165" s="250"/>
      <c r="L165" s="250"/>
      <c r="O165" s="796"/>
      <c r="P165" s="811"/>
      <c r="Q165" s="811"/>
      <c r="R165" s="812"/>
    </row>
    <row r="166" spans="1:18" s="244" customFormat="1" ht="31.5" customHeight="1">
      <c r="A166" s="196" t="s">
        <v>127</v>
      </c>
      <c r="B166" s="237">
        <v>317142430</v>
      </c>
      <c r="C166" s="238" t="s">
        <v>1775</v>
      </c>
      <c r="D166" s="197" t="s">
        <v>158</v>
      </c>
      <c r="E166" s="239">
        <f>SUM(D167)</f>
        <v>2</v>
      </c>
      <c r="F166" s="239"/>
      <c r="G166" s="240">
        <f>$E166*F166</f>
        <v>0</v>
      </c>
      <c r="H166" s="241">
        <v>0.02535</v>
      </c>
      <c r="I166" s="242">
        <f>E166*H166</f>
        <v>0.0507</v>
      </c>
      <c r="J166" s="243">
        <v>0</v>
      </c>
      <c r="K166" s="241">
        <f>E166*J166</f>
        <v>0</v>
      </c>
      <c r="L166" s="241"/>
      <c r="O166" s="796"/>
      <c r="P166" s="811"/>
      <c r="Q166" s="811"/>
      <c r="R166" s="818"/>
    </row>
    <row r="167" spans="1:18" s="251" customFormat="1" ht="17.25" customHeight="1">
      <c r="A167" s="196"/>
      <c r="B167" s="725"/>
      <c r="C167" s="726" t="s">
        <v>1540</v>
      </c>
      <c r="D167" s="727">
        <f>1+1</f>
        <v>2</v>
      </c>
      <c r="E167" s="728"/>
      <c r="F167" s="728"/>
      <c r="G167" s="729"/>
      <c r="H167" s="249"/>
      <c r="I167" s="250"/>
      <c r="J167" s="250"/>
      <c r="K167" s="250"/>
      <c r="L167" s="250"/>
      <c r="O167" s="796"/>
      <c r="P167" s="811"/>
      <c r="Q167" s="811"/>
      <c r="R167" s="812"/>
    </row>
    <row r="168" spans="1:18" s="244" customFormat="1" ht="31.5" customHeight="1">
      <c r="A168" s="196" t="s">
        <v>128</v>
      </c>
      <c r="B168" s="237">
        <v>317142432</v>
      </c>
      <c r="C168" s="238" t="s">
        <v>1774</v>
      </c>
      <c r="D168" s="197" t="s">
        <v>158</v>
      </c>
      <c r="E168" s="239">
        <v>1</v>
      </c>
      <c r="F168" s="239"/>
      <c r="G168" s="240">
        <f>$E168*F168</f>
        <v>0</v>
      </c>
      <c r="H168" s="241">
        <v>0.03235</v>
      </c>
      <c r="I168" s="242">
        <f>E168*H168</f>
        <v>0.03235</v>
      </c>
      <c r="J168" s="243">
        <v>0</v>
      </c>
      <c r="K168" s="241">
        <f>E168*J168</f>
        <v>0</v>
      </c>
      <c r="L168" s="241"/>
      <c r="O168" s="796"/>
      <c r="P168" s="811"/>
      <c r="Q168" s="811"/>
      <c r="R168" s="818"/>
    </row>
    <row r="169" spans="1:18" s="251" customFormat="1" ht="17.25" customHeight="1">
      <c r="A169" s="196"/>
      <c r="B169" s="725"/>
      <c r="C169" s="726"/>
      <c r="D169" s="727"/>
      <c r="E169" s="728"/>
      <c r="F169" s="728"/>
      <c r="G169" s="729"/>
      <c r="H169" s="249"/>
      <c r="I169" s="250"/>
      <c r="J169" s="250"/>
      <c r="K169" s="250"/>
      <c r="L169" s="250"/>
      <c r="O169" s="796"/>
      <c r="P169" s="811"/>
      <c r="Q169" s="811"/>
      <c r="R169" s="812"/>
    </row>
    <row r="170" spans="1:18" s="244" customFormat="1" ht="21.75" customHeight="1">
      <c r="A170" s="196" t="s">
        <v>129</v>
      </c>
      <c r="B170" s="237">
        <v>310279842</v>
      </c>
      <c r="C170" s="238" t="s">
        <v>120</v>
      </c>
      <c r="D170" s="197" t="s">
        <v>52</v>
      </c>
      <c r="E170" s="239">
        <f>SUM(D171:D172)</f>
        <v>3.82</v>
      </c>
      <c r="F170" s="239"/>
      <c r="G170" s="240">
        <f>$E170*F170</f>
        <v>0</v>
      </c>
      <c r="H170" s="241">
        <v>1.32715</v>
      </c>
      <c r="I170" s="242">
        <f>E170*H170</f>
        <v>5.069713</v>
      </c>
      <c r="J170" s="243">
        <v>0</v>
      </c>
      <c r="K170" s="241">
        <f>E170*J170</f>
        <v>0</v>
      </c>
      <c r="L170" s="241"/>
      <c r="O170" s="796"/>
      <c r="P170" s="811"/>
      <c r="Q170" s="811"/>
      <c r="R170" s="818"/>
    </row>
    <row r="171" spans="1:18" s="251" customFormat="1" ht="17.25" customHeight="1">
      <c r="A171" s="196"/>
      <c r="B171" s="205"/>
      <c r="C171" s="245" t="s">
        <v>1778</v>
      </c>
      <c r="D171" s="246">
        <f>0.95*2*0.2+1.8*2*0.3</f>
        <v>1.46</v>
      </c>
      <c r="E171" s="247"/>
      <c r="F171" s="247"/>
      <c r="G171" s="248"/>
      <c r="H171" s="249"/>
      <c r="I171" s="250"/>
      <c r="J171" s="250"/>
      <c r="K171" s="250"/>
      <c r="L171" s="250"/>
      <c r="O171" s="796"/>
      <c r="P171" s="811"/>
      <c r="Q171" s="811"/>
      <c r="R171" s="812"/>
    </row>
    <row r="172" spans="1:18" s="251" customFormat="1" ht="17.25" customHeight="1">
      <c r="A172" s="750"/>
      <c r="B172" s="725"/>
      <c r="C172" s="726" t="s">
        <v>1889</v>
      </c>
      <c r="D172" s="727">
        <f>1.2*3.7*0.2+1.6*3.7*0.2+0.6*1.2*0.4</f>
        <v>2.36</v>
      </c>
      <c r="E172" s="728"/>
      <c r="F172" s="728"/>
      <c r="G172" s="729"/>
      <c r="H172" s="249"/>
      <c r="I172" s="250"/>
      <c r="J172" s="250"/>
      <c r="K172" s="250"/>
      <c r="L172" s="250"/>
      <c r="O172" s="796"/>
      <c r="P172" s="811"/>
      <c r="Q172" s="811"/>
      <c r="R172" s="812"/>
    </row>
    <row r="173" spans="1:18" s="244" customFormat="1" ht="21.75" customHeight="1">
      <c r="A173" s="196" t="s">
        <v>130</v>
      </c>
      <c r="B173" s="237" t="s">
        <v>1137</v>
      </c>
      <c r="C173" s="238" t="s">
        <v>1138</v>
      </c>
      <c r="D173" s="197" t="s">
        <v>73</v>
      </c>
      <c r="E173" s="239">
        <f>SUM(D174)</f>
        <v>0.1654344</v>
      </c>
      <c r="F173" s="239"/>
      <c r="G173" s="240">
        <f>$E173*F173</f>
        <v>0</v>
      </c>
      <c r="H173" s="241">
        <v>1.09</v>
      </c>
      <c r="I173" s="242">
        <f>E173*H173</f>
        <v>0.18032349600000003</v>
      </c>
      <c r="J173" s="243">
        <v>0</v>
      </c>
      <c r="K173" s="241">
        <f>E173*J173</f>
        <v>0</v>
      </c>
      <c r="L173" s="241"/>
      <c r="O173" s="796"/>
      <c r="P173" s="811"/>
      <c r="Q173" s="811"/>
      <c r="R173" s="818"/>
    </row>
    <row r="174" spans="1:18" s="251" customFormat="1" ht="17.25" customHeight="1">
      <c r="A174" s="196"/>
      <c r="B174" s="706" t="s">
        <v>1546</v>
      </c>
      <c r="C174" s="716" t="s">
        <v>1777</v>
      </c>
      <c r="D174" s="717">
        <f>1.3*11.1*1.08*2*0.001+1.1*11.1*1.08*8*0.001+1.2*11.1*1.08*2*0.001</f>
        <v>0.1654344</v>
      </c>
      <c r="E174" s="718"/>
      <c r="F174" s="718"/>
      <c r="G174" s="719"/>
      <c r="H174" s="249"/>
      <c r="I174" s="250"/>
      <c r="J174" s="250"/>
      <c r="K174" s="250"/>
      <c r="L174" s="250"/>
      <c r="O174" s="796"/>
      <c r="P174" s="811"/>
      <c r="Q174" s="811"/>
      <c r="R174" s="812"/>
    </row>
    <row r="175" spans="1:18" s="244" customFormat="1" ht="21.75" customHeight="1">
      <c r="A175" s="196" t="s">
        <v>131</v>
      </c>
      <c r="B175" s="237">
        <v>317944323</v>
      </c>
      <c r="C175" s="238" t="s">
        <v>1549</v>
      </c>
      <c r="D175" s="197" t="s">
        <v>73</v>
      </c>
      <c r="E175" s="239">
        <f>SUM(D176:D178)</f>
        <v>0.9185238</v>
      </c>
      <c r="F175" s="239"/>
      <c r="G175" s="240">
        <f>$E175*F175</f>
        <v>0</v>
      </c>
      <c r="H175" s="241">
        <v>1.09</v>
      </c>
      <c r="I175" s="242">
        <f>E175*H175</f>
        <v>1.001190942</v>
      </c>
      <c r="J175" s="243">
        <v>0</v>
      </c>
      <c r="K175" s="241">
        <f>E175*J175</f>
        <v>0</v>
      </c>
      <c r="L175" s="241"/>
      <c r="O175" s="796"/>
      <c r="P175" s="811"/>
      <c r="Q175" s="811"/>
      <c r="R175" s="818"/>
    </row>
    <row r="176" spans="1:18" s="251" customFormat="1" ht="17.25" customHeight="1">
      <c r="A176" s="196"/>
      <c r="B176" s="706" t="s">
        <v>1548</v>
      </c>
      <c r="C176" s="716" t="s">
        <v>1776</v>
      </c>
      <c r="D176" s="717">
        <f>2.1*14.4*1.08*2*0.001</f>
        <v>0.06531840000000001</v>
      </c>
      <c r="E176" s="718"/>
      <c r="F176" s="718"/>
      <c r="G176" s="719"/>
      <c r="H176" s="249"/>
      <c r="I176" s="250"/>
      <c r="J176" s="250"/>
      <c r="K176" s="250"/>
      <c r="L176" s="250"/>
      <c r="O176" s="796"/>
      <c r="P176" s="811"/>
      <c r="Q176" s="811"/>
      <c r="R176" s="812"/>
    </row>
    <row r="177" spans="1:18" s="251" customFormat="1" ht="17.25" customHeight="1">
      <c r="A177" s="750"/>
      <c r="B177" s="706" t="s">
        <v>1560</v>
      </c>
      <c r="C177" s="726" t="s">
        <v>1914</v>
      </c>
      <c r="D177" s="727">
        <f>2.4*17.9*1.08*3*0.001*2+2.4*17.9*1.08*2*0.001+2.5*17.9*1.08*3*0.001</f>
        <v>0.5161644000000001</v>
      </c>
      <c r="E177" s="728"/>
      <c r="F177" s="728"/>
      <c r="G177" s="729"/>
      <c r="H177" s="249"/>
      <c r="I177" s="250"/>
      <c r="J177" s="250"/>
      <c r="K177" s="250"/>
      <c r="L177" s="250"/>
      <c r="O177" s="796"/>
      <c r="P177" s="811"/>
      <c r="Q177" s="811"/>
      <c r="R177" s="812"/>
    </row>
    <row r="178" spans="1:18" s="251" customFormat="1" ht="17.25" customHeight="1">
      <c r="A178" s="750"/>
      <c r="B178" s="706" t="s">
        <v>1555</v>
      </c>
      <c r="C178" s="726" t="s">
        <v>2251</v>
      </c>
      <c r="D178" s="727">
        <f>4.75*21.9*1.08*3*0.001</f>
        <v>0.337041</v>
      </c>
      <c r="E178" s="728"/>
      <c r="F178" s="728"/>
      <c r="G178" s="729"/>
      <c r="H178" s="249"/>
      <c r="I178" s="250"/>
      <c r="J178" s="250"/>
      <c r="K178" s="250"/>
      <c r="L178" s="250"/>
      <c r="O178" s="796"/>
      <c r="P178" s="811"/>
      <c r="Q178" s="811"/>
      <c r="R178" s="812"/>
    </row>
    <row r="179" spans="1:18" s="244" customFormat="1" ht="21.75" customHeight="1">
      <c r="A179" s="196" t="s">
        <v>133</v>
      </c>
      <c r="B179" s="237" t="s">
        <v>1135</v>
      </c>
      <c r="C179" s="238" t="s">
        <v>1136</v>
      </c>
      <c r="D179" s="197" t="s">
        <v>52</v>
      </c>
      <c r="E179" s="239">
        <f>SUM(D180:D182)</f>
        <v>2.1073125</v>
      </c>
      <c r="F179" s="239"/>
      <c r="G179" s="240">
        <f>$E179*F179</f>
        <v>0</v>
      </c>
      <c r="H179" s="241">
        <v>1.94302</v>
      </c>
      <c r="I179" s="242">
        <f>E179*H179</f>
        <v>4.09455033375</v>
      </c>
      <c r="J179" s="243">
        <v>0</v>
      </c>
      <c r="K179" s="241">
        <f>E179*J179</f>
        <v>0</v>
      </c>
      <c r="L179" s="241"/>
      <c r="O179" s="796"/>
      <c r="P179" s="811"/>
      <c r="Q179" s="811"/>
      <c r="R179" s="818"/>
    </row>
    <row r="180" spans="1:18" s="251" customFormat="1" ht="17.25" customHeight="1">
      <c r="A180" s="715"/>
      <c r="B180" s="706"/>
      <c r="C180" s="716" t="s">
        <v>1915</v>
      </c>
      <c r="D180" s="717">
        <f>1.1*0.15*0.6*2+2.5*0.2*0.6+2.4*0.2*0.375*2+2.4*0.2*0.5*2+2.1*0.2*0.3</f>
        <v>1.464</v>
      </c>
      <c r="E180" s="718"/>
      <c r="F180" s="718"/>
      <c r="G180" s="719"/>
      <c r="H180" s="249"/>
      <c r="I180" s="250"/>
      <c r="J180" s="250"/>
      <c r="K180" s="250"/>
      <c r="L180" s="250"/>
      <c r="O180" s="796"/>
      <c r="P180" s="811"/>
      <c r="Q180" s="811"/>
      <c r="R180" s="812"/>
    </row>
    <row r="181" spans="1:18" s="251" customFormat="1" ht="17.25" customHeight="1">
      <c r="A181" s="733"/>
      <c r="B181" s="790"/>
      <c r="C181" s="726" t="s">
        <v>1779</v>
      </c>
      <c r="D181" s="727">
        <f>1.3*0.15*0.4+1.1*0.15*0.4+1.2*0.15*0.3</f>
        <v>0.198</v>
      </c>
      <c r="E181" s="767"/>
      <c r="F181" s="767"/>
      <c r="G181" s="768"/>
      <c r="H181" s="249"/>
      <c r="I181" s="250"/>
      <c r="J181" s="250"/>
      <c r="K181" s="250"/>
      <c r="L181" s="250"/>
      <c r="O181" s="796"/>
      <c r="P181" s="811"/>
      <c r="Q181" s="811"/>
      <c r="R181" s="812"/>
    </row>
    <row r="182" spans="1:18" s="251" customFormat="1" ht="17.25" customHeight="1">
      <c r="A182" s="733"/>
      <c r="B182" s="790"/>
      <c r="C182" s="726" t="s">
        <v>2252</v>
      </c>
      <c r="D182" s="727">
        <f>4.75*0.25*0.375</f>
        <v>0.4453125</v>
      </c>
      <c r="E182" s="767"/>
      <c r="F182" s="767"/>
      <c r="G182" s="768"/>
      <c r="H182" s="249"/>
      <c r="I182" s="250"/>
      <c r="J182" s="250"/>
      <c r="K182" s="250"/>
      <c r="L182" s="250"/>
      <c r="O182" s="796"/>
      <c r="P182" s="811"/>
      <c r="Q182" s="811"/>
      <c r="R182" s="812"/>
    </row>
    <row r="183" spans="1:7" ht="14" thickBot="1">
      <c r="A183" s="218"/>
      <c r="B183" s="412"/>
      <c r="C183" s="220"/>
      <c r="D183" s="221"/>
      <c r="E183" s="413"/>
      <c r="F183" s="414"/>
      <c r="G183" s="415"/>
    </row>
    <row r="184" spans="1:7" ht="13" thickBot="1">
      <c r="A184" s="225"/>
      <c r="B184" s="226"/>
      <c r="C184" s="227" t="s">
        <v>113</v>
      </c>
      <c r="D184" s="226"/>
      <c r="E184" s="416"/>
      <c r="F184" s="417"/>
      <c r="G184" s="230">
        <f>SUBTOTAL(9,G157:G183)</f>
        <v>0</v>
      </c>
    </row>
    <row r="185" spans="1:7" ht="13" thickBot="1">
      <c r="A185" s="179"/>
      <c r="B185" s="180"/>
      <c r="C185" s="180"/>
      <c r="D185" s="180"/>
      <c r="E185" s="180"/>
      <c r="F185" s="180"/>
      <c r="G185" s="396"/>
    </row>
    <row r="186" spans="1:20" ht="17.25" customHeight="1" thickBot="1">
      <c r="A186" s="182" t="s">
        <v>98</v>
      </c>
      <c r="B186" s="183"/>
      <c r="C186" s="184" t="s">
        <v>1139</v>
      </c>
      <c r="D186" s="185"/>
      <c r="E186" s="186"/>
      <c r="F186" s="187"/>
      <c r="G186" s="188"/>
      <c r="H186" s="77"/>
      <c r="I186" s="77"/>
      <c r="J186" s="77"/>
      <c r="K186" s="77"/>
      <c r="L186" s="77"/>
      <c r="M186" s="77"/>
      <c r="N186" s="78"/>
      <c r="R186" s="809"/>
      <c r="S186" s="79"/>
      <c r="T186" s="79"/>
    </row>
    <row r="187" spans="1:20" ht="12.75">
      <c r="A187" s="189"/>
      <c r="B187" s="231"/>
      <c r="C187" s="232"/>
      <c r="D187" s="233"/>
      <c r="E187" s="234"/>
      <c r="F187" s="235"/>
      <c r="G187" s="236"/>
      <c r="H187" s="77"/>
      <c r="I187" s="77"/>
      <c r="J187" s="77"/>
      <c r="K187" s="77"/>
      <c r="L187" s="77"/>
      <c r="M187" s="77"/>
      <c r="N187" s="78"/>
      <c r="R187" s="809"/>
      <c r="S187" s="79"/>
      <c r="T187" s="79"/>
    </row>
    <row r="188" spans="1:18" s="244" customFormat="1" ht="21.75" customHeight="1">
      <c r="A188" s="268" t="s">
        <v>156</v>
      </c>
      <c r="B188" s="237" t="s">
        <v>1140</v>
      </c>
      <c r="C188" s="238" t="s">
        <v>1141</v>
      </c>
      <c r="D188" s="197" t="s">
        <v>175</v>
      </c>
      <c r="E188" s="239">
        <f>SUM(D189:D192)</f>
        <v>58</v>
      </c>
      <c r="F188" s="239"/>
      <c r="G188" s="240">
        <f>$E188*F188</f>
        <v>0</v>
      </c>
      <c r="H188" s="241">
        <v>0.02278</v>
      </c>
      <c r="I188" s="242">
        <f>E188*H188</f>
        <v>1.3212400000000002</v>
      </c>
      <c r="J188" s="243">
        <v>0</v>
      </c>
      <c r="K188" s="241">
        <f>E188*J188</f>
        <v>0</v>
      </c>
      <c r="L188" s="241"/>
      <c r="O188" s="796"/>
      <c r="P188" s="811"/>
      <c r="Q188" s="811"/>
      <c r="R188" s="818"/>
    </row>
    <row r="189" spans="1:18" s="251" customFormat="1" ht="17.25" customHeight="1">
      <c r="A189" s="196"/>
      <c r="B189" s="706" t="s">
        <v>1546</v>
      </c>
      <c r="C189" s="716" t="s">
        <v>1780</v>
      </c>
      <c r="D189" s="717">
        <f>4+16+4</f>
        <v>24</v>
      </c>
      <c r="E189" s="718"/>
      <c r="F189" s="718"/>
      <c r="G189" s="719"/>
      <c r="H189" s="249"/>
      <c r="I189" s="250"/>
      <c r="J189" s="250"/>
      <c r="K189" s="250"/>
      <c r="L189" s="250"/>
      <c r="O189" s="796"/>
      <c r="P189" s="811"/>
      <c r="Q189" s="811"/>
      <c r="R189" s="812"/>
    </row>
    <row r="190" spans="1:18" s="251" customFormat="1" ht="17.25" customHeight="1">
      <c r="A190" s="196"/>
      <c r="B190" s="706" t="s">
        <v>1548</v>
      </c>
      <c r="C190" s="765">
        <v>4</v>
      </c>
      <c r="D190" s="717">
        <v>4</v>
      </c>
      <c r="E190" s="718"/>
      <c r="F190" s="718"/>
      <c r="G190" s="719"/>
      <c r="H190" s="249"/>
      <c r="I190" s="250"/>
      <c r="J190" s="250"/>
      <c r="K190" s="250"/>
      <c r="L190" s="250"/>
      <c r="O190" s="796"/>
      <c r="P190" s="811"/>
      <c r="Q190" s="811"/>
      <c r="R190" s="812"/>
    </row>
    <row r="191" spans="1:18" s="251" customFormat="1" ht="17.25" customHeight="1">
      <c r="A191" s="733"/>
      <c r="B191" s="706" t="s">
        <v>1560</v>
      </c>
      <c r="C191" s="766" t="s">
        <v>1781</v>
      </c>
      <c r="D191" s="727">
        <f>6*3+6</f>
        <v>24</v>
      </c>
      <c r="E191" s="767"/>
      <c r="F191" s="767"/>
      <c r="G191" s="768"/>
      <c r="H191" s="249"/>
      <c r="I191" s="250"/>
      <c r="J191" s="250"/>
      <c r="K191" s="250"/>
      <c r="L191" s="250"/>
      <c r="O191" s="796"/>
      <c r="P191" s="811"/>
      <c r="Q191" s="811"/>
      <c r="R191" s="812"/>
    </row>
    <row r="192" spans="1:18" s="251" customFormat="1" ht="17.25" customHeight="1">
      <c r="A192" s="750"/>
      <c r="B192" s="706" t="s">
        <v>1555</v>
      </c>
      <c r="C192" s="726" t="s">
        <v>2253</v>
      </c>
      <c r="D192" s="727">
        <v>6</v>
      </c>
      <c r="E192" s="728"/>
      <c r="F192" s="728"/>
      <c r="G192" s="729"/>
      <c r="H192" s="249"/>
      <c r="I192" s="250"/>
      <c r="J192" s="250"/>
      <c r="K192" s="250"/>
      <c r="L192" s="250"/>
      <c r="O192" s="796"/>
      <c r="P192" s="811"/>
      <c r="Q192" s="811"/>
      <c r="R192" s="812"/>
    </row>
    <row r="193" spans="1:20" ht="14" thickBot="1">
      <c r="A193" s="218"/>
      <c r="B193" s="219"/>
      <c r="C193" s="220"/>
      <c r="D193" s="221"/>
      <c r="E193" s="222"/>
      <c r="F193" s="223"/>
      <c r="G193" s="224"/>
      <c r="H193" s="77"/>
      <c r="I193" s="77"/>
      <c r="J193" s="77"/>
      <c r="K193" s="77"/>
      <c r="L193" s="77"/>
      <c r="M193" s="77"/>
      <c r="N193" s="78"/>
      <c r="R193" s="809"/>
      <c r="S193" s="79"/>
      <c r="T193" s="79"/>
    </row>
    <row r="194" spans="1:20" ht="13" thickBot="1">
      <c r="A194" s="225"/>
      <c r="B194" s="226"/>
      <c r="C194" s="227" t="s">
        <v>113</v>
      </c>
      <c r="D194" s="226"/>
      <c r="E194" s="228"/>
      <c r="F194" s="229"/>
      <c r="G194" s="230">
        <f>SUBTOTAL(9,G187:G193)</f>
        <v>0</v>
      </c>
      <c r="H194" s="77"/>
      <c r="I194" s="77"/>
      <c r="J194" s="77"/>
      <c r="K194" s="77"/>
      <c r="L194" s="77"/>
      <c r="M194" s="77"/>
      <c r="N194" s="78"/>
      <c r="R194" s="809"/>
      <c r="S194" s="79"/>
      <c r="T194" s="79"/>
    </row>
    <row r="195" spans="1:20" ht="13" thickBot="1">
      <c r="A195" s="179"/>
      <c r="B195" s="180"/>
      <c r="C195" s="180"/>
      <c r="D195" s="180"/>
      <c r="E195" s="180"/>
      <c r="F195" s="180"/>
      <c r="G195" s="181"/>
      <c r="H195" s="77"/>
      <c r="I195" s="77"/>
      <c r="J195" s="77"/>
      <c r="K195" s="77"/>
      <c r="L195" s="77"/>
      <c r="M195" s="77"/>
      <c r="N195" s="78"/>
      <c r="R195" s="809"/>
      <c r="S195" s="79"/>
      <c r="T195" s="79"/>
    </row>
    <row r="196" spans="1:20" ht="17.25" customHeight="1" thickBot="1">
      <c r="A196" s="182" t="s">
        <v>166</v>
      </c>
      <c r="B196" s="183"/>
      <c r="C196" s="184" t="s">
        <v>122</v>
      </c>
      <c r="D196" s="185"/>
      <c r="E196" s="186"/>
      <c r="F196" s="187"/>
      <c r="G196" s="188"/>
      <c r="H196" s="77"/>
      <c r="I196" s="77"/>
      <c r="J196" s="77"/>
      <c r="K196" s="77"/>
      <c r="L196" s="77"/>
      <c r="M196" s="77"/>
      <c r="N196" s="78"/>
      <c r="R196" s="809"/>
      <c r="S196" s="79"/>
      <c r="T196" s="79"/>
    </row>
    <row r="197" spans="1:20" ht="12.75">
      <c r="A197" s="189"/>
      <c r="B197" s="231"/>
      <c r="C197" s="232"/>
      <c r="D197" s="233"/>
      <c r="E197" s="234"/>
      <c r="F197" s="235"/>
      <c r="G197" s="236"/>
      <c r="H197" s="77"/>
      <c r="I197" s="77"/>
      <c r="J197" s="77"/>
      <c r="K197" s="77"/>
      <c r="L197" s="77"/>
      <c r="M197" s="77"/>
      <c r="N197" s="78"/>
      <c r="R197" s="809"/>
      <c r="S197" s="79"/>
      <c r="T197" s="79"/>
    </row>
    <row r="198" spans="1:20" s="204" customFormat="1" ht="12.75">
      <c r="A198" s="455"/>
      <c r="B198" s="305"/>
      <c r="C198" s="254" t="s">
        <v>1030</v>
      </c>
      <c r="D198" s="305"/>
      <c r="E198" s="586"/>
      <c r="F198" s="586"/>
      <c r="G198" s="756"/>
      <c r="H198" s="85"/>
      <c r="I198" s="85"/>
      <c r="J198" s="85"/>
      <c r="K198" s="85"/>
      <c r="L198" s="85"/>
      <c r="M198" s="85"/>
      <c r="N198" s="202"/>
      <c r="O198" s="794"/>
      <c r="P198" s="806"/>
      <c r="Q198" s="806"/>
      <c r="R198" s="808"/>
      <c r="S198" s="203"/>
      <c r="T198" s="203"/>
    </row>
    <row r="199" spans="1:20" s="204" customFormat="1" ht="12.75">
      <c r="A199" s="455"/>
      <c r="B199" s="253" t="s">
        <v>1030</v>
      </c>
      <c r="C199" s="254" t="s">
        <v>1476</v>
      </c>
      <c r="D199" s="305"/>
      <c r="E199" s="586"/>
      <c r="F199" s="586"/>
      <c r="G199" s="756"/>
      <c r="H199" s="85"/>
      <c r="I199" s="85"/>
      <c r="J199" s="85"/>
      <c r="K199" s="85"/>
      <c r="L199" s="85"/>
      <c r="M199" s="85"/>
      <c r="N199" s="202"/>
      <c r="O199" s="794"/>
      <c r="P199" s="806"/>
      <c r="Q199" s="806"/>
      <c r="R199" s="808"/>
      <c r="S199" s="203"/>
      <c r="T199" s="203"/>
    </row>
    <row r="200" spans="1:20" s="204" customFormat="1" ht="24" customHeight="1">
      <c r="A200" s="268" t="s">
        <v>168</v>
      </c>
      <c r="B200" s="197" t="s">
        <v>1437</v>
      </c>
      <c r="C200" s="136" t="s">
        <v>1436</v>
      </c>
      <c r="D200" s="198" t="s">
        <v>46</v>
      </c>
      <c r="E200" s="199">
        <f>SUM(D201:D202)</f>
        <v>317.49999999999994</v>
      </c>
      <c r="F200" s="199"/>
      <c r="G200" s="200">
        <f>E200*F200</f>
        <v>0</v>
      </c>
      <c r="H200" s="201">
        <v>0</v>
      </c>
      <c r="I200" s="201">
        <f>E200*H200</f>
        <v>0</v>
      </c>
      <c r="J200" s="85">
        <v>0</v>
      </c>
      <c r="K200" s="85">
        <f>E200*J200</f>
        <v>0</v>
      </c>
      <c r="L200" s="85"/>
      <c r="M200" s="85"/>
      <c r="N200" s="202"/>
      <c r="O200" s="794"/>
      <c r="P200" s="806"/>
      <c r="Q200" s="806"/>
      <c r="R200" s="808"/>
      <c r="S200" s="203"/>
      <c r="T200" s="203"/>
    </row>
    <row r="201" spans="1:20" s="596" customFormat="1" ht="24" customHeight="1">
      <c r="A201" s="683"/>
      <c r="B201" s="681" t="s">
        <v>1460</v>
      </c>
      <c r="C201" s="678" t="s">
        <v>1782</v>
      </c>
      <c r="D201" s="685">
        <f>(14+26.6+12.9+13+2.6)*0.45+(9+10.7+4)*0.35+0.01</f>
        <v>39.4</v>
      </c>
      <c r="E201" s="679"/>
      <c r="F201" s="679"/>
      <c r="G201" s="680"/>
      <c r="H201" s="592"/>
      <c r="I201" s="592"/>
      <c r="J201" s="593"/>
      <c r="K201" s="593"/>
      <c r="L201" s="593"/>
      <c r="M201" s="593"/>
      <c r="N201" s="594"/>
      <c r="O201" s="794"/>
      <c r="P201" s="806"/>
      <c r="Q201" s="806"/>
      <c r="R201" s="814"/>
      <c r="S201" s="595"/>
      <c r="T201" s="595"/>
    </row>
    <row r="202" spans="1:20" s="596" customFormat="1" ht="24" customHeight="1">
      <c r="A202" s="683"/>
      <c r="B202" s="682" t="s">
        <v>1461</v>
      </c>
      <c r="C202" s="678" t="s">
        <v>1783</v>
      </c>
      <c r="D202" s="685">
        <f>(14+26.6+12.9+13+2.6)*3.15+(9+10.7+4)*3.25-(1.6*1.8+0.75*1.8+0.8*1.8+0.9*1.8*2+0.8*1.8*1+0.7*1.8*5)+0.06</f>
        <v>278.09999999999997</v>
      </c>
      <c r="E202" s="679"/>
      <c r="F202" s="679"/>
      <c r="G202" s="680"/>
      <c r="H202" s="592"/>
      <c r="I202" s="592"/>
      <c r="J202" s="593"/>
      <c r="K202" s="593"/>
      <c r="L202" s="593"/>
      <c r="M202" s="593"/>
      <c r="N202" s="594"/>
      <c r="O202" s="794"/>
      <c r="P202" s="806"/>
      <c r="Q202" s="806"/>
      <c r="R202" s="814"/>
      <c r="S202" s="595"/>
      <c r="T202" s="595"/>
    </row>
    <row r="203" spans="1:20" s="204" customFormat="1" ht="24" customHeight="1">
      <c r="A203" s="268" t="s">
        <v>268</v>
      </c>
      <c r="B203" s="197" t="s">
        <v>1411</v>
      </c>
      <c r="C203" s="136" t="s">
        <v>1412</v>
      </c>
      <c r="D203" s="198" t="s">
        <v>46</v>
      </c>
      <c r="E203" s="199">
        <f>SUM(D204:D205)</f>
        <v>317.49999999999994</v>
      </c>
      <c r="F203" s="199"/>
      <c r="G203" s="200">
        <f>E203*F203</f>
        <v>0</v>
      </c>
      <c r="H203" s="201">
        <v>0</v>
      </c>
      <c r="I203" s="201">
        <f>E203*H203</f>
        <v>0</v>
      </c>
      <c r="J203" s="85">
        <v>0</v>
      </c>
      <c r="K203" s="85">
        <f>E203*J203</f>
        <v>0</v>
      </c>
      <c r="L203" s="85"/>
      <c r="M203" s="85"/>
      <c r="N203" s="202"/>
      <c r="O203" s="794"/>
      <c r="P203" s="806"/>
      <c r="Q203" s="806"/>
      <c r="R203" s="808"/>
      <c r="S203" s="203"/>
      <c r="T203" s="203"/>
    </row>
    <row r="204" spans="1:20" s="596" customFormat="1" ht="30" customHeight="1">
      <c r="A204" s="683"/>
      <c r="B204" s="681" t="s">
        <v>1460</v>
      </c>
      <c r="C204" s="678" t="s">
        <v>1782</v>
      </c>
      <c r="D204" s="685">
        <f>(14+26.6+12.9+13+2.6)*0.45+(9+10.7+4)*0.35+0.01</f>
        <v>39.4</v>
      </c>
      <c r="E204" s="679"/>
      <c r="F204" s="679"/>
      <c r="G204" s="680"/>
      <c r="H204" s="592"/>
      <c r="I204" s="592"/>
      <c r="J204" s="593"/>
      <c r="K204" s="593"/>
      <c r="L204" s="593"/>
      <c r="M204" s="593"/>
      <c r="N204" s="594"/>
      <c r="O204" s="794"/>
      <c r="P204" s="806"/>
      <c r="Q204" s="806"/>
      <c r="R204" s="814"/>
      <c r="S204" s="595"/>
      <c r="T204" s="595"/>
    </row>
    <row r="205" spans="1:20" s="596" customFormat="1" ht="30" customHeight="1">
      <c r="A205" s="683"/>
      <c r="B205" s="682" t="s">
        <v>1461</v>
      </c>
      <c r="C205" s="678" t="s">
        <v>1783</v>
      </c>
      <c r="D205" s="685">
        <f>(14+26.6+12.9+13+2.6)*3.15+(9+10.7+4)*3.25-(1.6*1.8+0.75*1.8+0.8*1.8+0.9*1.8*2+0.8*1.8*1+0.7*1.8*5)+0.06</f>
        <v>278.09999999999997</v>
      </c>
      <c r="E205" s="679"/>
      <c r="F205" s="679"/>
      <c r="G205" s="680"/>
      <c r="H205" s="592"/>
      <c r="I205" s="592"/>
      <c r="J205" s="593"/>
      <c r="K205" s="593"/>
      <c r="L205" s="593"/>
      <c r="M205" s="593"/>
      <c r="N205" s="594"/>
      <c r="O205" s="794"/>
      <c r="P205" s="806"/>
      <c r="Q205" s="806"/>
      <c r="R205" s="814"/>
      <c r="S205" s="595"/>
      <c r="T205" s="595"/>
    </row>
    <row r="206" spans="1:20" s="204" customFormat="1" ht="24" customHeight="1">
      <c r="A206" s="268" t="s">
        <v>269</v>
      </c>
      <c r="B206" s="197" t="s">
        <v>1413</v>
      </c>
      <c r="C206" s="136" t="s">
        <v>1414</v>
      </c>
      <c r="D206" s="198" t="s">
        <v>181</v>
      </c>
      <c r="E206" s="199">
        <f>E203*0.127</f>
        <v>40.32249999999999</v>
      </c>
      <c r="F206" s="199"/>
      <c r="G206" s="200">
        <f>E206*F206</f>
        <v>0</v>
      </c>
      <c r="H206" s="201">
        <v>0</v>
      </c>
      <c r="I206" s="201">
        <f>E206*H206</f>
        <v>0</v>
      </c>
      <c r="J206" s="85">
        <v>0</v>
      </c>
      <c r="K206" s="85">
        <f>E206*J206</f>
        <v>0</v>
      </c>
      <c r="L206" s="85"/>
      <c r="M206" s="85"/>
      <c r="N206" s="202"/>
      <c r="O206" s="794"/>
      <c r="P206" s="806"/>
      <c r="Q206" s="806"/>
      <c r="R206" s="808"/>
      <c r="S206" s="203"/>
      <c r="T206" s="203"/>
    </row>
    <row r="207" spans="1:20" s="204" customFormat="1" ht="30.75" customHeight="1">
      <c r="A207" s="268" t="s">
        <v>329</v>
      </c>
      <c r="B207" s="197" t="s">
        <v>1415</v>
      </c>
      <c r="C207" s="136" t="s">
        <v>1416</v>
      </c>
      <c r="D207" s="198" t="s">
        <v>46</v>
      </c>
      <c r="E207" s="199">
        <f>SUM(D208)</f>
        <v>39.4</v>
      </c>
      <c r="F207" s="199"/>
      <c r="G207" s="200">
        <f>E207*F207</f>
        <v>0</v>
      </c>
      <c r="H207" s="201">
        <v>0</v>
      </c>
      <c r="I207" s="201">
        <f>E207*H207</f>
        <v>0</v>
      </c>
      <c r="J207" s="85">
        <v>0</v>
      </c>
      <c r="K207" s="85">
        <f>E207*J207</f>
        <v>0</v>
      </c>
      <c r="L207" s="85"/>
      <c r="M207" s="85"/>
      <c r="N207" s="202"/>
      <c r="O207" s="794"/>
      <c r="P207" s="806"/>
      <c r="Q207" s="806"/>
      <c r="R207" s="808"/>
      <c r="S207" s="203"/>
      <c r="T207" s="203"/>
    </row>
    <row r="208" spans="1:20" s="596" customFormat="1" ht="24" customHeight="1">
      <c r="A208" s="683"/>
      <c r="B208" s="681" t="s">
        <v>1460</v>
      </c>
      <c r="C208" s="678" t="s">
        <v>1782</v>
      </c>
      <c r="D208" s="685">
        <f>(14+26.6+12.9+13+2.6)*0.45+(9+10.7+4)*0.35+0.01</f>
        <v>39.4</v>
      </c>
      <c r="E208" s="679"/>
      <c r="F208" s="679"/>
      <c r="G208" s="680"/>
      <c r="H208" s="592"/>
      <c r="I208" s="592"/>
      <c r="J208" s="593"/>
      <c r="K208" s="593"/>
      <c r="L208" s="593"/>
      <c r="M208" s="593"/>
      <c r="N208" s="594"/>
      <c r="O208" s="794"/>
      <c r="P208" s="806"/>
      <c r="Q208" s="806"/>
      <c r="R208" s="814"/>
      <c r="S208" s="595"/>
      <c r="T208" s="595"/>
    </row>
    <row r="209" spans="1:20" s="204" customFormat="1" ht="24" customHeight="1">
      <c r="A209" s="268" t="s">
        <v>330</v>
      </c>
      <c r="B209" s="197" t="s">
        <v>1417</v>
      </c>
      <c r="C209" s="136" t="s">
        <v>1418</v>
      </c>
      <c r="D209" s="198" t="s">
        <v>181</v>
      </c>
      <c r="E209" s="199">
        <f>E207*1.5</f>
        <v>59.099999999999994</v>
      </c>
      <c r="F209" s="199"/>
      <c r="G209" s="200">
        <f>E209*F209</f>
        <v>0</v>
      </c>
      <c r="H209" s="201">
        <v>0.001</v>
      </c>
      <c r="I209" s="201">
        <f>E209*H209</f>
        <v>0.05909999999999999</v>
      </c>
      <c r="J209" s="85">
        <v>0</v>
      </c>
      <c r="K209" s="85">
        <f>E209*J209</f>
        <v>0</v>
      </c>
      <c r="L209" s="85"/>
      <c r="M209" s="85"/>
      <c r="N209" s="202"/>
      <c r="O209" s="794"/>
      <c r="P209" s="806"/>
      <c r="Q209" s="806"/>
      <c r="R209" s="808"/>
      <c r="S209" s="203"/>
      <c r="T209" s="203"/>
    </row>
    <row r="210" spans="1:20" s="204" customFormat="1" ht="24" customHeight="1">
      <c r="A210" s="268" t="s">
        <v>331</v>
      </c>
      <c r="B210" s="197" t="s">
        <v>1411</v>
      </c>
      <c r="C210" s="136" t="s">
        <v>1454</v>
      </c>
      <c r="D210" s="198" t="s">
        <v>46</v>
      </c>
      <c r="E210" s="199">
        <f>SUM(D211:D211)</f>
        <v>39.4</v>
      </c>
      <c r="F210" s="199"/>
      <c r="G210" s="200">
        <f>E210*F210</f>
        <v>0</v>
      </c>
      <c r="H210" s="201">
        <v>0</v>
      </c>
      <c r="I210" s="201">
        <f>E210*H210</f>
        <v>0</v>
      </c>
      <c r="J210" s="85">
        <v>0</v>
      </c>
      <c r="K210" s="85">
        <f>E210*J210</f>
        <v>0</v>
      </c>
      <c r="L210" s="85"/>
      <c r="M210" s="85"/>
      <c r="N210" s="202"/>
      <c r="O210" s="794"/>
      <c r="P210" s="806"/>
      <c r="Q210" s="806"/>
      <c r="R210" s="808"/>
      <c r="S210" s="203"/>
      <c r="T210" s="203"/>
    </row>
    <row r="211" spans="1:20" s="596" customFormat="1" ht="24" customHeight="1">
      <c r="A211" s="683"/>
      <c r="B211" s="681" t="s">
        <v>1460</v>
      </c>
      <c r="C211" s="678" t="s">
        <v>1782</v>
      </c>
      <c r="D211" s="685">
        <f>(14+26.6+12.9+13+2.6)*0.45+(9+10.7+4)*0.35+0.01</f>
        <v>39.4</v>
      </c>
      <c r="E211" s="679"/>
      <c r="F211" s="679"/>
      <c r="G211" s="680"/>
      <c r="H211" s="592"/>
      <c r="I211" s="592"/>
      <c r="J211" s="593"/>
      <c r="K211" s="593"/>
      <c r="L211" s="593"/>
      <c r="M211" s="593"/>
      <c r="N211" s="594"/>
      <c r="O211" s="794"/>
      <c r="P211" s="806"/>
      <c r="Q211" s="806"/>
      <c r="R211" s="814"/>
      <c r="S211" s="595"/>
      <c r="T211" s="595"/>
    </row>
    <row r="212" spans="1:20" s="204" customFormat="1" ht="24" customHeight="1">
      <c r="A212" s="268" t="s">
        <v>332</v>
      </c>
      <c r="B212" s="197" t="s">
        <v>1419</v>
      </c>
      <c r="C212" s="136" t="s">
        <v>1420</v>
      </c>
      <c r="D212" s="198" t="s">
        <v>181</v>
      </c>
      <c r="E212" s="199">
        <f>E210*0.127</f>
        <v>5.0038</v>
      </c>
      <c r="F212" s="199"/>
      <c r="G212" s="200">
        <f>E212*F212</f>
        <v>0</v>
      </c>
      <c r="H212" s="201">
        <v>0</v>
      </c>
      <c r="I212" s="201">
        <f>E212*H212</f>
        <v>0</v>
      </c>
      <c r="J212" s="85">
        <v>0</v>
      </c>
      <c r="K212" s="85">
        <f>E212*J212</f>
        <v>0</v>
      </c>
      <c r="L212" s="85"/>
      <c r="M212" s="85"/>
      <c r="N212" s="202"/>
      <c r="O212" s="794"/>
      <c r="P212" s="806"/>
      <c r="Q212" s="806"/>
      <c r="R212" s="808"/>
      <c r="S212" s="203"/>
      <c r="T212" s="203"/>
    </row>
    <row r="213" spans="1:20" s="204" customFormat="1" ht="30" customHeight="1">
      <c r="A213" s="268" t="s">
        <v>333</v>
      </c>
      <c r="B213" s="197" t="s">
        <v>1467</v>
      </c>
      <c r="C213" s="136" t="s">
        <v>1440</v>
      </c>
      <c r="D213" s="198" t="s">
        <v>46</v>
      </c>
      <c r="E213" s="199">
        <f>SUM(D214:D214)</f>
        <v>39.4</v>
      </c>
      <c r="F213" s="199"/>
      <c r="G213" s="200">
        <f>E213*F213</f>
        <v>0</v>
      </c>
      <c r="H213" s="201">
        <v>0.0234</v>
      </c>
      <c r="I213" s="201">
        <f>E213*H213</f>
        <v>0.92196</v>
      </c>
      <c r="J213" s="85">
        <v>0</v>
      </c>
      <c r="K213" s="85">
        <f>E213*J213</f>
        <v>0</v>
      </c>
      <c r="L213" s="85"/>
      <c r="M213" s="85"/>
      <c r="N213" s="202"/>
      <c r="O213" s="794"/>
      <c r="P213" s="806"/>
      <c r="Q213" s="806"/>
      <c r="R213" s="808"/>
      <c r="S213" s="203"/>
      <c r="T213" s="203"/>
    </row>
    <row r="214" spans="1:20" s="596" customFormat="1" ht="24" customHeight="1">
      <c r="A214" s="683"/>
      <c r="B214" s="681" t="s">
        <v>1460</v>
      </c>
      <c r="C214" s="678" t="s">
        <v>1782</v>
      </c>
      <c r="D214" s="685">
        <f>(14+26.6+12.9+13+2.6)*0.45+(9+10.7+4)*0.35+0.01</f>
        <v>39.4</v>
      </c>
      <c r="E214" s="679"/>
      <c r="F214" s="679"/>
      <c r="G214" s="680"/>
      <c r="H214" s="592"/>
      <c r="I214" s="592"/>
      <c r="J214" s="593"/>
      <c r="K214" s="593"/>
      <c r="L214" s="593"/>
      <c r="M214" s="593"/>
      <c r="N214" s="594"/>
      <c r="O214" s="794"/>
      <c r="P214" s="806"/>
      <c r="Q214" s="806"/>
      <c r="R214" s="814"/>
      <c r="S214" s="595"/>
      <c r="T214" s="595"/>
    </row>
    <row r="215" spans="1:20" s="204" customFormat="1" ht="24" customHeight="1">
      <c r="A215" s="268" t="s">
        <v>373</v>
      </c>
      <c r="B215" s="197" t="s">
        <v>1466</v>
      </c>
      <c r="C215" s="136" t="s">
        <v>1465</v>
      </c>
      <c r="D215" s="198" t="s">
        <v>46</v>
      </c>
      <c r="E215" s="199">
        <f>SUM(D216)</f>
        <v>278.09999999999997</v>
      </c>
      <c r="F215" s="199"/>
      <c r="G215" s="200">
        <f>E215*F215</f>
        <v>0</v>
      </c>
      <c r="H215" s="201">
        <v>0.01325</v>
      </c>
      <c r="I215" s="201">
        <f>E215*H215</f>
        <v>3.6848249999999996</v>
      </c>
      <c r="J215" s="85">
        <v>0</v>
      </c>
      <c r="K215" s="85">
        <f>E215*J215</f>
        <v>0</v>
      </c>
      <c r="L215" s="85"/>
      <c r="M215" s="85"/>
      <c r="N215" s="202"/>
      <c r="O215" s="794"/>
      <c r="P215" s="806"/>
      <c r="Q215" s="806"/>
      <c r="R215" s="808"/>
      <c r="S215" s="203"/>
      <c r="T215" s="203"/>
    </row>
    <row r="216" spans="1:20" s="596" customFormat="1" ht="33.75" customHeight="1">
      <c r="A216" s="683"/>
      <c r="B216" s="682" t="s">
        <v>1461</v>
      </c>
      <c r="C216" s="678" t="s">
        <v>1783</v>
      </c>
      <c r="D216" s="685">
        <f>(14+26.6+12.9+13+2.6)*3.15+(9+10.7+4)*3.25-(1.6*1.8+0.75*1.8+0.8*1.8+0.9*1.8*2+0.8*1.8*1+0.7*1.8*5)+0.06</f>
        <v>278.09999999999997</v>
      </c>
      <c r="E216" s="679"/>
      <c r="F216" s="679"/>
      <c r="G216" s="680"/>
      <c r="H216" s="592"/>
      <c r="I216" s="592"/>
      <c r="J216" s="593"/>
      <c r="K216" s="593"/>
      <c r="L216" s="593"/>
      <c r="M216" s="593"/>
      <c r="N216" s="594"/>
      <c r="O216" s="794"/>
      <c r="P216" s="806"/>
      <c r="Q216" s="806"/>
      <c r="R216" s="814"/>
      <c r="S216" s="595"/>
      <c r="T216" s="595"/>
    </row>
    <row r="217" spans="1:20" s="204" customFormat="1" ht="24" customHeight="1">
      <c r="A217" s="268" t="s">
        <v>374</v>
      </c>
      <c r="B217" s="197">
        <v>612321121</v>
      </c>
      <c r="C217" s="136" t="s">
        <v>2419</v>
      </c>
      <c r="D217" s="198" t="s">
        <v>46</v>
      </c>
      <c r="E217" s="199">
        <f>SUM(D218)</f>
        <v>278.09999999999997</v>
      </c>
      <c r="F217" s="199"/>
      <c r="G217" s="200">
        <f>E217*F217</f>
        <v>0</v>
      </c>
      <c r="H217" s="201">
        <v>0.0154</v>
      </c>
      <c r="I217" s="201">
        <f>E217*H217</f>
        <v>4.2827399999999995</v>
      </c>
      <c r="J217" s="85">
        <v>0</v>
      </c>
      <c r="K217" s="85">
        <f>E217*J217</f>
        <v>0</v>
      </c>
      <c r="L217" s="85"/>
      <c r="M217" s="85"/>
      <c r="N217" s="202"/>
      <c r="O217" s="794"/>
      <c r="P217" s="806"/>
      <c r="Q217" s="806"/>
      <c r="R217" s="808"/>
      <c r="S217" s="203"/>
      <c r="T217" s="203"/>
    </row>
    <row r="218" spans="1:20" s="596" customFormat="1" ht="34.5" customHeight="1">
      <c r="A218" s="683"/>
      <c r="B218" s="682" t="s">
        <v>1461</v>
      </c>
      <c r="C218" s="678" t="s">
        <v>1783</v>
      </c>
      <c r="D218" s="685">
        <f>(14+26.6+12.9+13+2.6)*3.15+(9+10.7+4)*3.25-(1.6*1.8+0.75*1.8+0.8*1.8+0.9*1.8*2+0.8*1.8*1+0.7*1.8*5)+0.06</f>
        <v>278.09999999999997</v>
      </c>
      <c r="E218" s="679"/>
      <c r="F218" s="679"/>
      <c r="G218" s="680"/>
      <c r="H218" s="592"/>
      <c r="I218" s="592"/>
      <c r="J218" s="593"/>
      <c r="K218" s="593"/>
      <c r="L218" s="593"/>
      <c r="M218" s="593"/>
      <c r="N218" s="594"/>
      <c r="O218" s="794"/>
      <c r="P218" s="806"/>
      <c r="Q218" s="806"/>
      <c r="R218" s="814"/>
      <c r="S218" s="595"/>
      <c r="T218" s="595"/>
    </row>
    <row r="219" spans="1:20" s="204" customFormat="1" ht="24" customHeight="1">
      <c r="A219" s="268" t="s">
        <v>376</v>
      </c>
      <c r="B219" s="197">
        <v>612142001</v>
      </c>
      <c r="C219" s="136" t="s">
        <v>132</v>
      </c>
      <c r="D219" s="198" t="s">
        <v>46</v>
      </c>
      <c r="E219" s="199">
        <f>SUM(D220:D222)</f>
        <v>104.40100000000001</v>
      </c>
      <c r="F219" s="199"/>
      <c r="G219" s="200">
        <f>E219*F219</f>
        <v>0</v>
      </c>
      <c r="H219" s="201">
        <v>0.00438</v>
      </c>
      <c r="I219" s="201">
        <f>E219*H219</f>
        <v>0.4572763800000001</v>
      </c>
      <c r="J219" s="85">
        <v>0</v>
      </c>
      <c r="K219" s="85">
        <f>E219*J219</f>
        <v>0</v>
      </c>
      <c r="L219" s="85"/>
      <c r="M219" s="85"/>
      <c r="N219" s="202"/>
      <c r="O219" s="794"/>
      <c r="P219" s="806"/>
      <c r="Q219" s="806"/>
      <c r="R219" s="808"/>
      <c r="S219" s="203"/>
      <c r="T219" s="203"/>
    </row>
    <row r="220" spans="1:18" s="595" customFormat="1" ht="21.75" customHeight="1">
      <c r="A220" s="683"/>
      <c r="B220" s="686" t="s">
        <v>1472</v>
      </c>
      <c r="C220" s="245" t="s">
        <v>1827</v>
      </c>
      <c r="D220" s="685">
        <f>((2.1*5)*2.5-0.7*1.97*2)*2+0.02</f>
        <v>47.004000000000005</v>
      </c>
      <c r="E220" s="688"/>
      <c r="F220" s="688"/>
      <c r="G220" s="689"/>
      <c r="H220" s="593"/>
      <c r="I220" s="593"/>
      <c r="J220" s="593"/>
      <c r="K220" s="593"/>
      <c r="L220" s="593"/>
      <c r="M220" s="593"/>
      <c r="N220" s="594"/>
      <c r="O220" s="794"/>
      <c r="P220" s="806"/>
      <c r="Q220" s="806"/>
      <c r="R220" s="814"/>
    </row>
    <row r="221" spans="1:18" s="595" customFormat="1" ht="21.75" customHeight="1">
      <c r="A221" s="683"/>
      <c r="B221" s="686" t="s">
        <v>1472</v>
      </c>
      <c r="C221" s="726" t="s">
        <v>1828</v>
      </c>
      <c r="D221" s="759">
        <f>((4.6+1.85*2)*2.5-0.8*1.97-0.7*1.97*2)*2+0.07</f>
        <v>32.902</v>
      </c>
      <c r="E221" s="846"/>
      <c r="F221" s="846"/>
      <c r="G221" s="689"/>
      <c r="H221" s="593"/>
      <c r="I221" s="593"/>
      <c r="J221" s="593"/>
      <c r="K221" s="593"/>
      <c r="L221" s="593"/>
      <c r="M221" s="593"/>
      <c r="N221" s="594"/>
      <c r="O221" s="794"/>
      <c r="P221" s="806"/>
      <c r="Q221" s="806"/>
      <c r="R221" s="814"/>
    </row>
    <row r="222" spans="1:18" s="595" customFormat="1" ht="21.75" customHeight="1">
      <c r="A222" s="683"/>
      <c r="B222" s="686" t="s">
        <v>1568</v>
      </c>
      <c r="C222" s="726" t="s">
        <v>1784</v>
      </c>
      <c r="D222" s="759">
        <f>1.2*3.6*2+1.6*3.6*2+0.75*1.2+0.95*3.6+0.015</f>
        <v>24.495000000000005</v>
      </c>
      <c r="E222" s="846"/>
      <c r="F222" s="846"/>
      <c r="G222" s="689"/>
      <c r="H222" s="593"/>
      <c r="I222" s="593"/>
      <c r="J222" s="593"/>
      <c r="K222" s="593"/>
      <c r="L222" s="593"/>
      <c r="M222" s="593"/>
      <c r="N222" s="594"/>
      <c r="O222" s="794"/>
      <c r="P222" s="806"/>
      <c r="Q222" s="806"/>
      <c r="R222" s="814"/>
    </row>
    <row r="223" spans="1:20" s="271" customFormat="1" ht="12.75">
      <c r="A223" s="268"/>
      <c r="B223" s="269"/>
      <c r="C223" s="270"/>
      <c r="D223" s="269"/>
      <c r="E223" s="669"/>
      <c r="F223" s="669"/>
      <c r="G223" s="274"/>
      <c r="H223" s="85"/>
      <c r="I223" s="85"/>
      <c r="J223" s="85"/>
      <c r="K223" s="85"/>
      <c r="L223" s="85"/>
      <c r="M223" s="85"/>
      <c r="N223" s="202"/>
      <c r="O223" s="794"/>
      <c r="P223" s="806"/>
      <c r="Q223" s="806"/>
      <c r="R223" s="808"/>
      <c r="S223" s="203"/>
      <c r="T223" s="203"/>
    </row>
    <row r="224" spans="1:20" s="271" customFormat="1" ht="19.5" customHeight="1">
      <c r="A224" s="268" t="s">
        <v>378</v>
      </c>
      <c r="B224" s="674" t="s">
        <v>1574</v>
      </c>
      <c r="C224" s="270" t="s">
        <v>261</v>
      </c>
      <c r="D224" s="269" t="s">
        <v>46</v>
      </c>
      <c r="E224" s="199">
        <f>SUM(D225)</f>
        <v>121.19999999999997</v>
      </c>
      <c r="F224" s="199"/>
      <c r="G224" s="200">
        <f>E224*F224</f>
        <v>0</v>
      </c>
      <c r="H224" s="85">
        <v>0.017</v>
      </c>
      <c r="I224" s="201">
        <f>E224*H224</f>
        <v>2.0603999999999996</v>
      </c>
      <c r="J224" s="85">
        <v>0</v>
      </c>
      <c r="K224" s="85">
        <f>E224*J224</f>
        <v>0</v>
      </c>
      <c r="L224" s="85"/>
      <c r="M224" s="85"/>
      <c r="N224" s="202"/>
      <c r="O224" s="794"/>
      <c r="P224" s="806"/>
      <c r="Q224" s="806"/>
      <c r="R224" s="808"/>
      <c r="S224" s="203"/>
      <c r="T224" s="203"/>
    </row>
    <row r="225" spans="1:20" s="214" customFormat="1" ht="15" customHeight="1">
      <c r="A225" s="196"/>
      <c r="B225" s="205"/>
      <c r="C225" s="206" t="s">
        <v>1793</v>
      </c>
      <c r="D225" s="207">
        <f>(33.2+9.2*2+25.1+9.8+3.6+4.1+6.8)*1.2</f>
        <v>121.19999999999997</v>
      </c>
      <c r="E225" s="208"/>
      <c r="F225" s="208"/>
      <c r="G225" s="209"/>
      <c r="H225" s="210"/>
      <c r="I225" s="210"/>
      <c r="J225" s="211"/>
      <c r="K225" s="673"/>
      <c r="L225" s="705"/>
      <c r="M225" s="211"/>
      <c r="N225" s="212"/>
      <c r="O225" s="794"/>
      <c r="P225" s="806"/>
      <c r="Q225" s="806"/>
      <c r="R225" s="807"/>
      <c r="S225" s="213"/>
      <c r="T225" s="213"/>
    </row>
    <row r="226" spans="1:20" s="271" customFormat="1" ht="12.75">
      <c r="A226" s="268"/>
      <c r="B226" s="269"/>
      <c r="C226" s="270"/>
      <c r="D226" s="269"/>
      <c r="E226" s="669"/>
      <c r="F226" s="669"/>
      <c r="G226" s="274"/>
      <c r="H226" s="85"/>
      <c r="I226" s="85"/>
      <c r="J226" s="85"/>
      <c r="K226" s="85"/>
      <c r="L226" s="85"/>
      <c r="M226" s="85"/>
      <c r="N226" s="202"/>
      <c r="O226" s="794"/>
      <c r="P226" s="806"/>
      <c r="Q226" s="806"/>
      <c r="R226" s="808"/>
      <c r="S226" s="203"/>
      <c r="T226" s="203"/>
    </row>
    <row r="227" spans="1:20" s="204" customFormat="1" ht="30" customHeight="1">
      <c r="A227" s="268" t="s">
        <v>380</v>
      </c>
      <c r="B227" s="674">
        <v>611325422</v>
      </c>
      <c r="C227" s="270" t="s">
        <v>1710</v>
      </c>
      <c r="D227" s="668" t="s">
        <v>46</v>
      </c>
      <c r="E227" s="669">
        <f>SUM(D228)</f>
        <v>6.6</v>
      </c>
      <c r="F227" s="669"/>
      <c r="G227" s="200">
        <f>E227*F227</f>
        <v>0</v>
      </c>
      <c r="H227" s="201">
        <v>0.017</v>
      </c>
      <c r="I227" s="201">
        <f>E227*H227</f>
        <v>0.11220000000000001</v>
      </c>
      <c r="J227" s="85">
        <v>0</v>
      </c>
      <c r="K227" s="673">
        <f>E227*J227</f>
        <v>0</v>
      </c>
      <c r="L227" s="673"/>
      <c r="M227" s="85"/>
      <c r="N227" s="202"/>
      <c r="O227" s="794"/>
      <c r="P227" s="806"/>
      <c r="Q227" s="806"/>
      <c r="R227" s="808"/>
      <c r="S227" s="203"/>
      <c r="T227" s="203"/>
    </row>
    <row r="228" spans="1:20" s="214" customFormat="1" ht="15" customHeight="1">
      <c r="A228" s="196"/>
      <c r="B228" s="205"/>
      <c r="C228" s="784" t="s">
        <v>1794</v>
      </c>
      <c r="D228" s="207">
        <f>5.6+1</f>
        <v>6.6</v>
      </c>
      <c r="E228" s="208"/>
      <c r="F228" s="208"/>
      <c r="G228" s="209"/>
      <c r="H228" s="210"/>
      <c r="I228" s="210"/>
      <c r="J228" s="211"/>
      <c r="K228" s="673"/>
      <c r="L228" s="705"/>
      <c r="M228" s="211"/>
      <c r="N228" s="212"/>
      <c r="O228" s="794"/>
      <c r="P228" s="806"/>
      <c r="Q228" s="806"/>
      <c r="R228" s="807"/>
      <c r="S228" s="213"/>
      <c r="T228" s="213"/>
    </row>
    <row r="229" spans="1:20" s="271" customFormat="1" ht="21.75" customHeight="1">
      <c r="A229" s="268" t="s">
        <v>382</v>
      </c>
      <c r="B229" s="269">
        <v>611311131</v>
      </c>
      <c r="C229" s="270" t="s">
        <v>1576</v>
      </c>
      <c r="D229" s="269" t="s">
        <v>46</v>
      </c>
      <c r="E229" s="669">
        <f>E227</f>
        <v>6.6</v>
      </c>
      <c r="F229" s="669"/>
      <c r="G229" s="200">
        <f>E229*F229</f>
        <v>0</v>
      </c>
      <c r="H229" s="85">
        <v>0.003</v>
      </c>
      <c r="I229" s="201">
        <f>E229*H229</f>
        <v>0.019799999999999998</v>
      </c>
      <c r="J229" s="85">
        <v>0</v>
      </c>
      <c r="K229" s="85">
        <f>E229*J229</f>
        <v>0</v>
      </c>
      <c r="L229" s="85"/>
      <c r="M229" s="85"/>
      <c r="N229" s="202"/>
      <c r="O229" s="794"/>
      <c r="P229" s="806"/>
      <c r="Q229" s="806"/>
      <c r="R229" s="808"/>
      <c r="S229" s="203"/>
      <c r="T229" s="203"/>
    </row>
    <row r="230" spans="1:20" s="271" customFormat="1" ht="21.75" customHeight="1">
      <c r="A230" s="268"/>
      <c r="B230" s="269"/>
      <c r="C230" s="270"/>
      <c r="D230" s="269"/>
      <c r="E230" s="739"/>
      <c r="F230" s="739"/>
      <c r="G230" s="459"/>
      <c r="H230" s="85"/>
      <c r="I230" s="201"/>
      <c r="J230" s="85"/>
      <c r="K230" s="85"/>
      <c r="L230" s="85"/>
      <c r="M230" s="85"/>
      <c r="N230" s="202"/>
      <c r="O230" s="794"/>
      <c r="P230" s="806"/>
      <c r="Q230" s="806"/>
      <c r="R230" s="808"/>
      <c r="S230" s="203"/>
      <c r="T230" s="203"/>
    </row>
    <row r="231" spans="1:20" s="271" customFormat="1" ht="21.75" customHeight="1">
      <c r="A231" s="268"/>
      <c r="B231" s="253" t="s">
        <v>1030</v>
      </c>
      <c r="C231" s="254" t="s">
        <v>135</v>
      </c>
      <c r="D231" s="269"/>
      <c r="E231" s="669"/>
      <c r="F231" s="669"/>
      <c r="G231" s="274"/>
      <c r="H231" s="85"/>
      <c r="I231" s="85"/>
      <c r="J231" s="85"/>
      <c r="K231" s="85"/>
      <c r="L231" s="85"/>
      <c r="M231" s="85"/>
      <c r="N231" s="202"/>
      <c r="O231" s="794"/>
      <c r="P231" s="806"/>
      <c r="Q231" s="806"/>
      <c r="R231" s="808"/>
      <c r="S231" s="203"/>
      <c r="T231" s="203"/>
    </row>
    <row r="232" spans="1:20" s="204" customFormat="1" ht="24" customHeight="1">
      <c r="A232" s="268" t="s">
        <v>782</v>
      </c>
      <c r="B232" s="197" t="s">
        <v>1585</v>
      </c>
      <c r="C232" s="136" t="s">
        <v>1586</v>
      </c>
      <c r="D232" s="198" t="s">
        <v>116</v>
      </c>
      <c r="E232" s="199">
        <f>SUM(D233)</f>
        <v>3</v>
      </c>
      <c r="F232" s="199"/>
      <c r="G232" s="240">
        <f>$E232*F232</f>
        <v>0</v>
      </c>
      <c r="H232" s="201">
        <v>0.00105</v>
      </c>
      <c r="I232" s="242">
        <f>E232*H232</f>
        <v>0.00315</v>
      </c>
      <c r="J232" s="243">
        <v>0</v>
      </c>
      <c r="K232" s="241">
        <f>E232*J232</f>
        <v>0</v>
      </c>
      <c r="L232" s="85"/>
      <c r="M232" s="85"/>
      <c r="N232" s="202"/>
      <c r="O232" s="794"/>
      <c r="P232" s="806"/>
      <c r="Q232" s="806"/>
      <c r="R232" s="808"/>
      <c r="S232" s="203"/>
      <c r="T232" s="203"/>
    </row>
    <row r="233" spans="1:20" s="214" customFormat="1" ht="15" customHeight="1">
      <c r="A233" s="196"/>
      <c r="B233" s="205"/>
      <c r="C233" s="206" t="s">
        <v>1786</v>
      </c>
      <c r="D233" s="207">
        <f>15.1*0.2-0.02</f>
        <v>3</v>
      </c>
      <c r="E233" s="208"/>
      <c r="F233" s="208"/>
      <c r="G233" s="209"/>
      <c r="H233" s="210"/>
      <c r="I233" s="210"/>
      <c r="J233" s="211"/>
      <c r="K233" s="85"/>
      <c r="L233" s="211"/>
      <c r="M233" s="211"/>
      <c r="N233" s="212"/>
      <c r="O233" s="794"/>
      <c r="P233" s="806"/>
      <c r="Q233" s="806"/>
      <c r="R233" s="807"/>
      <c r="S233" s="213"/>
      <c r="T233" s="213"/>
    </row>
    <row r="234" spans="1:20" s="204" customFormat="1" ht="24" customHeight="1">
      <c r="A234" s="268" t="s">
        <v>783</v>
      </c>
      <c r="B234" s="197" t="s">
        <v>1587</v>
      </c>
      <c r="C234" s="136" t="s">
        <v>1588</v>
      </c>
      <c r="D234" s="198" t="s">
        <v>46</v>
      </c>
      <c r="E234" s="199">
        <v>15.1</v>
      </c>
      <c r="F234" s="199"/>
      <c r="G234" s="240">
        <f>$E234*F234</f>
        <v>0</v>
      </c>
      <c r="H234" s="201">
        <v>0.00105</v>
      </c>
      <c r="I234" s="242">
        <f>E234*H234</f>
        <v>0.015854999999999998</v>
      </c>
      <c r="J234" s="243">
        <v>0</v>
      </c>
      <c r="K234" s="241">
        <f>E234*J234</f>
        <v>0</v>
      </c>
      <c r="L234" s="85"/>
      <c r="M234" s="85"/>
      <c r="N234" s="202"/>
      <c r="O234" s="794"/>
      <c r="P234" s="806"/>
      <c r="Q234" s="806"/>
      <c r="R234" s="808"/>
      <c r="S234" s="203"/>
      <c r="T234" s="203"/>
    </row>
    <row r="235" spans="1:20" s="204" customFormat="1" ht="24" customHeight="1">
      <c r="A235" s="268" t="s">
        <v>784</v>
      </c>
      <c r="B235" s="197">
        <v>632681111</v>
      </c>
      <c r="C235" s="136" t="s">
        <v>1589</v>
      </c>
      <c r="D235" s="198" t="s">
        <v>175</v>
      </c>
      <c r="E235" s="199">
        <v>7</v>
      </c>
      <c r="F235" s="199"/>
      <c r="G235" s="240">
        <f>$E235*F235</f>
        <v>0</v>
      </c>
      <c r="H235" s="201">
        <v>9E-05</v>
      </c>
      <c r="I235" s="242">
        <f>E235*H235</f>
        <v>0.00063</v>
      </c>
      <c r="J235" s="243">
        <v>0</v>
      </c>
      <c r="K235" s="241">
        <f>E235*J235</f>
        <v>0</v>
      </c>
      <c r="L235" s="85"/>
      <c r="M235" s="85"/>
      <c r="N235" s="202"/>
      <c r="O235" s="794"/>
      <c r="P235" s="806"/>
      <c r="Q235" s="806"/>
      <c r="R235" s="808"/>
      <c r="S235" s="203"/>
      <c r="T235" s="203"/>
    </row>
    <row r="236" spans="1:20" s="204" customFormat="1" ht="21.75" customHeight="1">
      <c r="A236" s="268" t="s">
        <v>785</v>
      </c>
      <c r="B236" s="197">
        <v>711111002</v>
      </c>
      <c r="C236" s="136" t="s">
        <v>1478</v>
      </c>
      <c r="D236" s="198" t="s">
        <v>46</v>
      </c>
      <c r="E236" s="199">
        <f>SUM(D237)</f>
        <v>82.29999999999998</v>
      </c>
      <c r="F236" s="199"/>
      <c r="G236" s="200">
        <f>E236*F236</f>
        <v>0</v>
      </c>
      <c r="H236" s="201">
        <v>0</v>
      </c>
      <c r="I236" s="201">
        <f>E236*H236</f>
        <v>0</v>
      </c>
      <c r="J236" s="85">
        <v>0</v>
      </c>
      <c r="K236" s="85">
        <f>E236*J236</f>
        <v>0</v>
      </c>
      <c r="L236" s="85"/>
      <c r="M236" s="85"/>
      <c r="N236" s="202"/>
      <c r="O236" s="794"/>
      <c r="P236" s="806"/>
      <c r="Q236" s="806"/>
      <c r="R236" s="808"/>
      <c r="S236" s="203"/>
      <c r="T236" s="203"/>
    </row>
    <row r="237" spans="1:20" s="596" customFormat="1" ht="18" customHeight="1">
      <c r="A237" s="720"/>
      <c r="B237" s="721"/>
      <c r="C237" s="206" t="s">
        <v>1787</v>
      </c>
      <c r="D237" s="685">
        <f>(1.7+6.5+3.5+17.3+2.7+8.6+3.5+22.4+8.6)*1.1+0.02</f>
        <v>82.29999999999998</v>
      </c>
      <c r="E237" s="679"/>
      <c r="F237" s="679"/>
      <c r="G237" s="680"/>
      <c r="H237" s="592"/>
      <c r="I237" s="592"/>
      <c r="J237" s="593"/>
      <c r="K237" s="593"/>
      <c r="L237" s="593"/>
      <c r="M237" s="593"/>
      <c r="N237" s="594"/>
      <c r="O237" s="794"/>
      <c r="P237" s="806"/>
      <c r="Q237" s="806"/>
      <c r="R237" s="814"/>
      <c r="S237" s="595"/>
      <c r="T237" s="595"/>
    </row>
    <row r="238" spans="1:20" s="204" customFormat="1" ht="21.75" customHeight="1">
      <c r="A238" s="268" t="s">
        <v>786</v>
      </c>
      <c r="B238" s="672">
        <v>11163152</v>
      </c>
      <c r="C238" s="667" t="s">
        <v>1479</v>
      </c>
      <c r="D238" s="668" t="s">
        <v>73</v>
      </c>
      <c r="E238" s="669">
        <f>0.00039*E236</f>
        <v>0.032096999999999994</v>
      </c>
      <c r="F238" s="669"/>
      <c r="G238" s="200">
        <f>E238*F238</f>
        <v>0</v>
      </c>
      <c r="H238" s="201">
        <v>1</v>
      </c>
      <c r="I238" s="201">
        <f>E238*H238</f>
        <v>0.032096999999999994</v>
      </c>
      <c r="J238" s="85">
        <v>0</v>
      </c>
      <c r="K238" s="85">
        <f>E238*J238</f>
        <v>0</v>
      </c>
      <c r="L238" s="85"/>
      <c r="M238" s="85"/>
      <c r="N238" s="202"/>
      <c r="O238" s="794"/>
      <c r="P238" s="806"/>
      <c r="Q238" s="806"/>
      <c r="R238" s="808"/>
      <c r="S238" s="203"/>
      <c r="T238" s="203"/>
    </row>
    <row r="239" spans="1:20" s="204" customFormat="1" ht="30.75" customHeight="1">
      <c r="A239" s="268" t="s">
        <v>761</v>
      </c>
      <c r="B239" s="663" t="s">
        <v>179</v>
      </c>
      <c r="C239" s="666" t="s">
        <v>1421</v>
      </c>
      <c r="D239" s="664" t="s">
        <v>46</v>
      </c>
      <c r="E239" s="665">
        <f>E236+E234</f>
        <v>97.39999999999998</v>
      </c>
      <c r="F239" s="665"/>
      <c r="G239" s="200">
        <f>E239*F239</f>
        <v>0</v>
      </c>
      <c r="H239" s="201">
        <v>0.000127</v>
      </c>
      <c r="I239" s="242">
        <f>E239*H239</f>
        <v>0.012369799999999997</v>
      </c>
      <c r="J239" s="243">
        <v>0</v>
      </c>
      <c r="K239" s="241">
        <f>E239*J239</f>
        <v>0</v>
      </c>
      <c r="L239" s="85"/>
      <c r="M239" s="85"/>
      <c r="N239" s="202"/>
      <c r="O239" s="794"/>
      <c r="P239" s="806"/>
      <c r="Q239" s="806"/>
      <c r="R239" s="808"/>
      <c r="S239" s="203"/>
      <c r="T239" s="203"/>
    </row>
    <row r="240" spans="1:20" s="204" customFormat="1" ht="24" customHeight="1">
      <c r="A240" s="268" t="s">
        <v>787</v>
      </c>
      <c r="B240" s="663" t="s">
        <v>1417</v>
      </c>
      <c r="C240" s="666" t="s">
        <v>1482</v>
      </c>
      <c r="D240" s="664" t="s">
        <v>181</v>
      </c>
      <c r="E240" s="665">
        <f>E239*1.5</f>
        <v>146.09999999999997</v>
      </c>
      <c r="F240" s="665"/>
      <c r="G240" s="200">
        <f>E240*F240</f>
        <v>0</v>
      </c>
      <c r="H240" s="201">
        <v>0</v>
      </c>
      <c r="I240" s="242">
        <f>E240*H240</f>
        <v>0</v>
      </c>
      <c r="J240" s="243">
        <v>0</v>
      </c>
      <c r="K240" s="241">
        <f>E240*J240</f>
        <v>0</v>
      </c>
      <c r="L240" s="85"/>
      <c r="M240" s="85"/>
      <c r="N240" s="202"/>
      <c r="O240" s="794"/>
      <c r="P240" s="806"/>
      <c r="Q240" s="806"/>
      <c r="R240" s="808"/>
      <c r="S240" s="203"/>
      <c r="T240" s="203"/>
    </row>
    <row r="241" spans="1:20" s="271" customFormat="1" ht="13">
      <c r="A241" s="268" t="s">
        <v>1490</v>
      </c>
      <c r="B241" s="269" t="s">
        <v>186</v>
      </c>
      <c r="C241" s="270" t="s">
        <v>1422</v>
      </c>
      <c r="D241" s="269" t="s">
        <v>46</v>
      </c>
      <c r="E241" s="669">
        <f>SUM(D242)</f>
        <v>74.79999999999998</v>
      </c>
      <c r="F241" s="669"/>
      <c r="G241" s="200">
        <f>E241*F241</f>
        <v>0</v>
      </c>
      <c r="H241" s="85">
        <v>0</v>
      </c>
      <c r="I241" s="201">
        <f>E241*H241</f>
        <v>0</v>
      </c>
      <c r="J241" s="85">
        <v>0</v>
      </c>
      <c r="K241" s="85">
        <f>E241*J241</f>
        <v>0</v>
      </c>
      <c r="L241" s="85"/>
      <c r="M241" s="85"/>
      <c r="N241" s="202"/>
      <c r="O241" s="794"/>
      <c r="P241" s="806"/>
      <c r="Q241" s="806"/>
      <c r="R241" s="808"/>
      <c r="S241" s="203"/>
      <c r="T241" s="203"/>
    </row>
    <row r="242" spans="1:20" s="596" customFormat="1" ht="18" customHeight="1">
      <c r="A242" s="720"/>
      <c r="B242" s="721"/>
      <c r="C242" s="206" t="s">
        <v>1788</v>
      </c>
      <c r="D242" s="685">
        <f>(1.7+6.5+3.5+17.3+2.7+8.6+3.5+22.4+8.6)</f>
        <v>74.79999999999998</v>
      </c>
      <c r="E242" s="679"/>
      <c r="F242" s="679"/>
      <c r="G242" s="680"/>
      <c r="H242" s="592"/>
      <c r="I242" s="592"/>
      <c r="J242" s="593"/>
      <c r="K242" s="593"/>
      <c r="L242" s="593"/>
      <c r="M242" s="593"/>
      <c r="N242" s="594"/>
      <c r="O242" s="794"/>
      <c r="P242" s="806"/>
      <c r="Q242" s="806"/>
      <c r="R242" s="814"/>
      <c r="S242" s="595"/>
      <c r="T242" s="595"/>
    </row>
    <row r="243" spans="1:20" s="271" customFormat="1" ht="13">
      <c r="A243" s="268" t="s">
        <v>1491</v>
      </c>
      <c r="B243" s="269" t="s">
        <v>188</v>
      </c>
      <c r="C243" s="270" t="s">
        <v>1423</v>
      </c>
      <c r="D243" s="269" t="s">
        <v>46</v>
      </c>
      <c r="E243" s="669">
        <f>2.04*E241+0.41</f>
        <v>153.00199999999995</v>
      </c>
      <c r="F243" s="669"/>
      <c r="G243" s="200">
        <f>E243*F243</f>
        <v>0</v>
      </c>
      <c r="H243" s="85">
        <v>0.004896</v>
      </c>
      <c r="I243" s="201">
        <f>E243*H243</f>
        <v>0.7490977919999998</v>
      </c>
      <c r="J243" s="85">
        <v>0</v>
      </c>
      <c r="K243" s="85">
        <f>E243*J243</f>
        <v>0</v>
      </c>
      <c r="L243" s="85"/>
      <c r="M243" s="85"/>
      <c r="N243" s="202"/>
      <c r="O243" s="794"/>
      <c r="P243" s="806"/>
      <c r="Q243" s="806"/>
      <c r="R243" s="808"/>
      <c r="S243" s="203"/>
      <c r="T243" s="203"/>
    </row>
    <row r="244" spans="1:20" s="204" customFormat="1" ht="24" customHeight="1">
      <c r="A244" s="268" t="s">
        <v>1492</v>
      </c>
      <c r="B244" s="197" t="s">
        <v>1424</v>
      </c>
      <c r="C244" s="136" t="s">
        <v>1425</v>
      </c>
      <c r="D244" s="198" t="s">
        <v>116</v>
      </c>
      <c r="E244" s="199">
        <f>SUM(D245)</f>
        <v>99</v>
      </c>
      <c r="F244" s="199"/>
      <c r="G244" s="200">
        <f>E244*F244</f>
        <v>0</v>
      </c>
      <c r="H244" s="201">
        <v>0</v>
      </c>
      <c r="I244" s="242">
        <f>E244*H244</f>
        <v>0</v>
      </c>
      <c r="J244" s="243">
        <v>0</v>
      </c>
      <c r="K244" s="241">
        <f>E244*J244</f>
        <v>0</v>
      </c>
      <c r="L244" s="85"/>
      <c r="M244" s="85"/>
      <c r="N244" s="202"/>
      <c r="O244" s="794"/>
      <c r="P244" s="806"/>
      <c r="Q244" s="806"/>
      <c r="R244" s="808"/>
      <c r="S244" s="203"/>
      <c r="T244" s="203"/>
    </row>
    <row r="245" spans="1:20" s="596" customFormat="1" ht="18" customHeight="1">
      <c r="A245" s="720"/>
      <c r="B245" s="721"/>
      <c r="C245" s="684" t="s">
        <v>1789</v>
      </c>
      <c r="D245" s="685">
        <f>(14+18.4+6.8+16.4+12.9+13+2.6+5.8)*1.1+0.11</f>
        <v>99</v>
      </c>
      <c r="E245" s="679"/>
      <c r="F245" s="679"/>
      <c r="G245" s="680"/>
      <c r="H245" s="592"/>
      <c r="I245" s="592"/>
      <c r="J245" s="593"/>
      <c r="K245" s="593"/>
      <c r="L245" s="593"/>
      <c r="M245" s="593"/>
      <c r="N245" s="594"/>
      <c r="O245" s="794"/>
      <c r="P245" s="806"/>
      <c r="Q245" s="806"/>
      <c r="R245" s="814"/>
      <c r="S245" s="595"/>
      <c r="T245" s="595"/>
    </row>
    <row r="246" spans="1:20" s="204" customFormat="1" ht="24" customHeight="1">
      <c r="A246" s="268" t="s">
        <v>1656</v>
      </c>
      <c r="B246" s="197" t="s">
        <v>1426</v>
      </c>
      <c r="C246" s="136" t="s">
        <v>1427</v>
      </c>
      <c r="D246" s="198" t="s">
        <v>116</v>
      </c>
      <c r="E246" s="199">
        <f>1.1655*E244+0.02</f>
        <v>115.4045</v>
      </c>
      <c r="F246" s="199"/>
      <c r="G246" s="200">
        <f>E246*F246</f>
        <v>0</v>
      </c>
      <c r="H246" s="201">
        <v>5E-05</v>
      </c>
      <c r="I246" s="242">
        <f>E246*H246</f>
        <v>0.005770225</v>
      </c>
      <c r="J246" s="243">
        <v>0</v>
      </c>
      <c r="K246" s="241">
        <f>E246*J246</f>
        <v>0</v>
      </c>
      <c r="L246" s="85"/>
      <c r="M246" s="85"/>
      <c r="N246" s="202"/>
      <c r="O246" s="794"/>
      <c r="P246" s="806"/>
      <c r="Q246" s="806"/>
      <c r="R246" s="808"/>
      <c r="S246" s="203"/>
      <c r="T246" s="203"/>
    </row>
    <row r="247" spans="1:20" s="271" customFormat="1" ht="18.75" customHeight="1">
      <c r="A247" s="268" t="s">
        <v>1493</v>
      </c>
      <c r="B247" s="269" t="s">
        <v>177</v>
      </c>
      <c r="C247" s="270" t="s">
        <v>1477</v>
      </c>
      <c r="D247" s="269" t="s">
        <v>46</v>
      </c>
      <c r="E247" s="669">
        <f>SUM(D248)</f>
        <v>85.99999999999997</v>
      </c>
      <c r="F247" s="669"/>
      <c r="G247" s="200">
        <f>E247*F247</f>
        <v>0</v>
      </c>
      <c r="H247" s="85">
        <v>0.00013</v>
      </c>
      <c r="I247" s="201">
        <f>E247*H247</f>
        <v>0.011179999999999995</v>
      </c>
      <c r="J247" s="85">
        <v>0</v>
      </c>
      <c r="K247" s="85">
        <f>E247*J247</f>
        <v>0</v>
      </c>
      <c r="L247" s="85"/>
      <c r="M247" s="85"/>
      <c r="N247" s="202"/>
      <c r="O247" s="794"/>
      <c r="P247" s="806"/>
      <c r="Q247" s="806"/>
      <c r="R247" s="808"/>
      <c r="S247" s="203"/>
      <c r="T247" s="203"/>
    </row>
    <row r="248" spans="1:20" s="596" customFormat="1" ht="18" customHeight="1">
      <c r="A248" s="720"/>
      <c r="B248" s="721"/>
      <c r="C248" s="206" t="s">
        <v>1790</v>
      </c>
      <c r="D248" s="685">
        <f>(1.7+6.5+3.5+17.3+2.7+8.6+3.5+22.4+8.6)*1.15-0.02</f>
        <v>85.99999999999997</v>
      </c>
      <c r="E248" s="679"/>
      <c r="F248" s="679"/>
      <c r="G248" s="680"/>
      <c r="H248" s="592"/>
      <c r="I248" s="592"/>
      <c r="J248" s="593"/>
      <c r="K248" s="593"/>
      <c r="L248" s="593"/>
      <c r="M248" s="593"/>
      <c r="N248" s="594"/>
      <c r="O248" s="794"/>
      <c r="P248" s="806"/>
      <c r="Q248" s="806"/>
      <c r="R248" s="814"/>
      <c r="S248" s="595"/>
      <c r="T248" s="595"/>
    </row>
    <row r="249" spans="1:20" s="271" customFormat="1" ht="17.25" customHeight="1">
      <c r="A249" s="268" t="s">
        <v>1494</v>
      </c>
      <c r="B249" s="269" t="s">
        <v>144</v>
      </c>
      <c r="C249" s="270" t="s">
        <v>1112</v>
      </c>
      <c r="D249" s="269" t="s">
        <v>46</v>
      </c>
      <c r="E249" s="669">
        <f>SUM(D250)</f>
        <v>89.89999999999998</v>
      </c>
      <c r="F249" s="669"/>
      <c r="G249" s="200">
        <f>E249*F249</f>
        <v>0</v>
      </c>
      <c r="H249" s="85">
        <v>0.11</v>
      </c>
      <c r="I249" s="201">
        <f>E249*H249</f>
        <v>9.888999999999998</v>
      </c>
      <c r="J249" s="85">
        <v>0</v>
      </c>
      <c r="K249" s="85">
        <f>E249*J249</f>
        <v>0</v>
      </c>
      <c r="L249" s="85"/>
      <c r="M249" s="85"/>
      <c r="N249" s="202"/>
      <c r="O249" s="794"/>
      <c r="P249" s="806"/>
      <c r="Q249" s="806"/>
      <c r="R249" s="808"/>
      <c r="S249" s="203"/>
      <c r="T249" s="203"/>
    </row>
    <row r="250" spans="1:20" s="596" customFormat="1" ht="18" customHeight="1">
      <c r="A250" s="720"/>
      <c r="B250" s="721"/>
      <c r="C250" s="206" t="s">
        <v>1791</v>
      </c>
      <c r="D250" s="685">
        <f>1.7+6.5+3.5+17.3+2.7+8.6+3.5+22.4+8.6+15.1</f>
        <v>89.89999999999998</v>
      </c>
      <c r="E250" s="679"/>
      <c r="F250" s="679"/>
      <c r="G250" s="680"/>
      <c r="H250" s="592"/>
      <c r="I250" s="592"/>
      <c r="J250" s="593"/>
      <c r="K250" s="593"/>
      <c r="L250" s="593"/>
      <c r="M250" s="593"/>
      <c r="N250" s="594"/>
      <c r="O250" s="794"/>
      <c r="P250" s="806"/>
      <c r="Q250" s="806"/>
      <c r="R250" s="814"/>
      <c r="S250" s="595"/>
      <c r="T250" s="595"/>
    </row>
    <row r="251" spans="1:20" s="271" customFormat="1" ht="22">
      <c r="A251" s="268" t="s">
        <v>1495</v>
      </c>
      <c r="B251" s="269" t="s">
        <v>146</v>
      </c>
      <c r="C251" s="270" t="s">
        <v>1113</v>
      </c>
      <c r="D251" s="269" t="s">
        <v>46</v>
      </c>
      <c r="E251" s="669">
        <f>E249*4</f>
        <v>359.5999999999999</v>
      </c>
      <c r="F251" s="669"/>
      <c r="G251" s="200">
        <f>E251*F251</f>
        <v>0</v>
      </c>
      <c r="H251" s="85">
        <v>0.011</v>
      </c>
      <c r="I251" s="201">
        <f>E251*H251</f>
        <v>3.9555999999999987</v>
      </c>
      <c r="J251" s="85">
        <v>0</v>
      </c>
      <c r="K251" s="85">
        <f>E251*J251</f>
        <v>0</v>
      </c>
      <c r="L251" s="85"/>
      <c r="M251" s="85"/>
      <c r="N251" s="202"/>
      <c r="O251" s="794"/>
      <c r="P251" s="806"/>
      <c r="Q251" s="806"/>
      <c r="R251" s="808"/>
      <c r="S251" s="203"/>
      <c r="T251" s="203"/>
    </row>
    <row r="252" spans="1:20" s="244" customFormat="1" ht="21.75" customHeight="1">
      <c r="A252" s="268" t="s">
        <v>1496</v>
      </c>
      <c r="B252" s="197" t="s">
        <v>142</v>
      </c>
      <c r="C252" s="294" t="s">
        <v>148</v>
      </c>
      <c r="D252" s="295" t="s">
        <v>73</v>
      </c>
      <c r="E252" s="404">
        <f>SUM(D253)</f>
        <v>0.5588184</v>
      </c>
      <c r="F252" s="404"/>
      <c r="G252" s="200">
        <f>E252*F252</f>
        <v>0</v>
      </c>
      <c r="H252" s="242">
        <v>1.06277</v>
      </c>
      <c r="I252" s="242">
        <f>E252*H252</f>
        <v>0.593895430968</v>
      </c>
      <c r="J252" s="243">
        <v>0</v>
      </c>
      <c r="K252" s="243">
        <f>E252*J252</f>
        <v>0</v>
      </c>
      <c r="L252" s="243"/>
      <c r="M252" s="243"/>
      <c r="N252" s="405"/>
      <c r="O252" s="796"/>
      <c r="P252" s="811"/>
      <c r="Q252" s="811"/>
      <c r="R252" s="847"/>
      <c r="S252" s="406"/>
      <c r="T252" s="406"/>
    </row>
    <row r="253" spans="1:20" s="214" customFormat="1" ht="15" customHeight="1">
      <c r="A253" s="196"/>
      <c r="B253" s="205"/>
      <c r="C253" s="206" t="s">
        <v>1792</v>
      </c>
      <c r="D253" s="207">
        <f>89.9*5.18*1.2*0.001</f>
        <v>0.5588184</v>
      </c>
      <c r="E253" s="208"/>
      <c r="F253" s="208"/>
      <c r="G253" s="209"/>
      <c r="H253" s="210"/>
      <c r="I253" s="210"/>
      <c r="J253" s="211"/>
      <c r="K253" s="85"/>
      <c r="L253" s="211"/>
      <c r="M253" s="211"/>
      <c r="N253" s="212"/>
      <c r="O253" s="794"/>
      <c r="P253" s="806"/>
      <c r="Q253" s="806"/>
      <c r="R253" s="807"/>
      <c r="S253" s="213"/>
      <c r="T253" s="213"/>
    </row>
    <row r="254" spans="1:20" s="271" customFormat="1" ht="12.75">
      <c r="A254" s="268"/>
      <c r="B254" s="269"/>
      <c r="C254" s="270"/>
      <c r="D254" s="269"/>
      <c r="E254" s="669"/>
      <c r="F254" s="669"/>
      <c r="G254" s="274"/>
      <c r="H254" s="85"/>
      <c r="I254" s="85"/>
      <c r="J254" s="85"/>
      <c r="K254" s="85"/>
      <c r="L254" s="85"/>
      <c r="M254" s="85"/>
      <c r="N254" s="202"/>
      <c r="O254" s="794"/>
      <c r="P254" s="806"/>
      <c r="Q254" s="806"/>
      <c r="R254" s="808"/>
      <c r="S254" s="203"/>
      <c r="T254" s="203"/>
    </row>
    <row r="255" spans="1:20" s="267" customFormat="1" ht="12.75">
      <c r="A255" s="262"/>
      <c r="B255" s="253" t="s">
        <v>1232</v>
      </c>
      <c r="C255" s="254" t="s">
        <v>1354</v>
      </c>
      <c r="D255" s="253"/>
      <c r="E255" s="256"/>
      <c r="F255" s="256"/>
      <c r="G255" s="460"/>
      <c r="H255" s="264"/>
      <c r="I255" s="264"/>
      <c r="J255" s="264"/>
      <c r="K255" s="264"/>
      <c r="L255" s="264"/>
      <c r="M255" s="264"/>
      <c r="N255" s="265"/>
      <c r="O255" s="794"/>
      <c r="P255" s="806"/>
      <c r="Q255" s="806"/>
      <c r="R255" s="833"/>
      <c r="S255" s="266"/>
      <c r="T255" s="266"/>
    </row>
    <row r="256" spans="1:20" s="204" customFormat="1" ht="24" customHeight="1">
      <c r="A256" s="268" t="s">
        <v>760</v>
      </c>
      <c r="B256" s="197">
        <v>711191001</v>
      </c>
      <c r="C256" s="136" t="s">
        <v>1821</v>
      </c>
      <c r="D256" s="198" t="s">
        <v>46</v>
      </c>
      <c r="E256" s="199">
        <v>17.6</v>
      </c>
      <c r="F256" s="199"/>
      <c r="G256" s="200">
        <f>E256*F256</f>
        <v>0</v>
      </c>
      <c r="H256" s="201">
        <v>0</v>
      </c>
      <c r="I256" s="201">
        <f>E256*H256</f>
        <v>0</v>
      </c>
      <c r="J256" s="85">
        <v>0</v>
      </c>
      <c r="K256" s="85">
        <f>E256*J256</f>
        <v>0</v>
      </c>
      <c r="L256" s="85"/>
      <c r="M256" s="85"/>
      <c r="N256" s="202"/>
      <c r="O256" s="203"/>
      <c r="P256" s="203"/>
      <c r="Q256" s="203"/>
      <c r="R256" s="203"/>
      <c r="S256" s="203"/>
      <c r="T256" s="203"/>
    </row>
    <row r="257" spans="1:20" s="204" customFormat="1" ht="21" customHeight="1">
      <c r="A257" s="268" t="s">
        <v>1657</v>
      </c>
      <c r="B257" s="197" t="s">
        <v>1419</v>
      </c>
      <c r="C257" s="136" t="s">
        <v>1420</v>
      </c>
      <c r="D257" s="198" t="s">
        <v>181</v>
      </c>
      <c r="E257" s="199">
        <f>E256*0.127</f>
        <v>2.2352000000000003</v>
      </c>
      <c r="F257" s="199"/>
      <c r="G257" s="200">
        <f>E257*F257</f>
        <v>0</v>
      </c>
      <c r="H257" s="201">
        <v>0</v>
      </c>
      <c r="I257" s="201">
        <f>E257*H257</f>
        <v>0</v>
      </c>
      <c r="J257" s="85">
        <v>0</v>
      </c>
      <c r="K257" s="85">
        <f>E257*J257</f>
        <v>0</v>
      </c>
      <c r="L257" s="85"/>
      <c r="M257" s="85"/>
      <c r="N257" s="202"/>
      <c r="O257" s="203"/>
      <c r="P257" s="203"/>
      <c r="Q257" s="203"/>
      <c r="R257" s="203"/>
      <c r="S257" s="203"/>
      <c r="T257" s="203"/>
    </row>
    <row r="258" spans="1:20" s="204" customFormat="1" ht="23.25" customHeight="1">
      <c r="A258" s="268" t="s">
        <v>1658</v>
      </c>
      <c r="B258" s="305" t="s">
        <v>144</v>
      </c>
      <c r="C258" s="306" t="s">
        <v>1112</v>
      </c>
      <c r="D258" s="305" t="s">
        <v>46</v>
      </c>
      <c r="E258" s="199">
        <v>17.6</v>
      </c>
      <c r="F258" s="199"/>
      <c r="G258" s="200">
        <f>E258*F258</f>
        <v>0</v>
      </c>
      <c r="H258" s="85">
        <v>0.11</v>
      </c>
      <c r="I258" s="85">
        <f>E258*H258</f>
        <v>1.9360000000000002</v>
      </c>
      <c r="J258" s="201">
        <v>0</v>
      </c>
      <c r="K258" s="201">
        <f>E258*J258</f>
        <v>0</v>
      </c>
      <c r="L258" s="85"/>
      <c r="M258" s="85"/>
      <c r="N258" s="202"/>
      <c r="O258" s="794"/>
      <c r="P258" s="806"/>
      <c r="Q258" s="806"/>
      <c r="R258" s="808"/>
      <c r="S258" s="203"/>
      <c r="T258" s="203"/>
    </row>
    <row r="259" spans="1:20" s="204" customFormat="1" ht="30" customHeight="1">
      <c r="A259" s="268" t="s">
        <v>1659</v>
      </c>
      <c r="B259" s="305" t="s">
        <v>146</v>
      </c>
      <c r="C259" s="306" t="s">
        <v>1113</v>
      </c>
      <c r="D259" s="305" t="s">
        <v>46</v>
      </c>
      <c r="E259" s="199">
        <f>E258*5</f>
        <v>88</v>
      </c>
      <c r="F259" s="199"/>
      <c r="G259" s="200">
        <f>E259*F259</f>
        <v>0</v>
      </c>
      <c r="H259" s="85">
        <v>0.011</v>
      </c>
      <c r="I259" s="85">
        <f>E259*H259</f>
        <v>0.968</v>
      </c>
      <c r="J259" s="201">
        <v>0</v>
      </c>
      <c r="K259" s="201">
        <f>E259*J259</f>
        <v>0</v>
      </c>
      <c r="L259" s="85"/>
      <c r="M259" s="85"/>
      <c r="N259" s="202"/>
      <c r="O259" s="794"/>
      <c r="P259" s="806"/>
      <c r="Q259" s="806"/>
      <c r="R259" s="808"/>
      <c r="S259" s="203"/>
      <c r="T259" s="203"/>
    </row>
    <row r="260" spans="1:20" s="204" customFormat="1" ht="22.5" customHeight="1">
      <c r="A260" s="268" t="s">
        <v>1660</v>
      </c>
      <c r="B260" s="305" t="s">
        <v>142</v>
      </c>
      <c r="C260" s="294" t="s">
        <v>148</v>
      </c>
      <c r="D260" s="305" t="s">
        <v>73</v>
      </c>
      <c r="E260" s="588">
        <f>SUM(D261)</f>
        <v>0.16684800000000002</v>
      </c>
      <c r="F260" s="404"/>
      <c r="G260" s="200">
        <f>E260*F260</f>
        <v>0</v>
      </c>
      <c r="H260" s="85">
        <v>1.063</v>
      </c>
      <c r="I260" s="85">
        <f>E260*H260</f>
        <v>0.17735942400000002</v>
      </c>
      <c r="J260" s="201">
        <v>0</v>
      </c>
      <c r="K260" s="201">
        <f>E260*J260</f>
        <v>0</v>
      </c>
      <c r="L260" s="85"/>
      <c r="M260" s="85"/>
      <c r="N260" s="202"/>
      <c r="O260" s="794"/>
      <c r="P260" s="806"/>
      <c r="Q260" s="806"/>
      <c r="R260" s="808"/>
      <c r="S260" s="203"/>
      <c r="T260" s="203"/>
    </row>
    <row r="261" spans="1:20" s="596" customFormat="1" ht="15" customHeight="1">
      <c r="A261" s="591"/>
      <c r="B261" s="837"/>
      <c r="C261" s="838" t="s">
        <v>1130</v>
      </c>
      <c r="D261" s="839">
        <f>17.6*7.9*1.2*0.001</f>
        <v>0.16684800000000002</v>
      </c>
      <c r="E261" s="840"/>
      <c r="F261" s="841"/>
      <c r="G261" s="842"/>
      <c r="H261" s="593"/>
      <c r="I261" s="593"/>
      <c r="J261" s="592"/>
      <c r="K261" s="592"/>
      <c r="L261" s="593"/>
      <c r="M261" s="593"/>
      <c r="N261" s="594"/>
      <c r="O261" s="794"/>
      <c r="P261" s="806"/>
      <c r="Q261" s="806"/>
      <c r="R261" s="814"/>
      <c r="S261" s="595"/>
      <c r="T261" s="595"/>
    </row>
    <row r="262" spans="1:20" s="204" customFormat="1" ht="12.75">
      <c r="A262" s="455"/>
      <c r="B262" s="305"/>
      <c r="C262" s="306"/>
      <c r="D262" s="305"/>
      <c r="E262" s="586"/>
      <c r="F262" s="586"/>
      <c r="G262" s="756"/>
      <c r="H262" s="85"/>
      <c r="I262" s="85"/>
      <c r="J262" s="85"/>
      <c r="K262" s="85"/>
      <c r="L262" s="85"/>
      <c r="M262" s="85"/>
      <c r="N262" s="202"/>
      <c r="O262" s="794"/>
      <c r="P262" s="806"/>
      <c r="Q262" s="806"/>
      <c r="R262" s="808"/>
      <c r="S262" s="203"/>
      <c r="T262" s="203"/>
    </row>
    <row r="263" spans="1:20" s="267" customFormat="1" ht="22.5" customHeight="1">
      <c r="A263" s="280"/>
      <c r="B263" s="253" t="s">
        <v>1030</v>
      </c>
      <c r="C263" s="281" t="s">
        <v>152</v>
      </c>
      <c r="D263" s="282"/>
      <c r="E263" s="283"/>
      <c r="F263" s="283"/>
      <c r="G263" s="284"/>
      <c r="H263" s="285"/>
      <c r="I263" s="285"/>
      <c r="J263" s="264"/>
      <c r="K263" s="264"/>
      <c r="L263" s="264"/>
      <c r="M263" s="264"/>
      <c r="N263" s="265"/>
      <c r="O263" s="794"/>
      <c r="P263" s="806"/>
      <c r="Q263" s="806"/>
      <c r="R263" s="833"/>
      <c r="S263" s="266"/>
      <c r="T263" s="266"/>
    </row>
    <row r="264" spans="1:20" s="271" customFormat="1" ht="27" customHeight="1">
      <c r="A264" s="268" t="s">
        <v>1661</v>
      </c>
      <c r="B264" s="674">
        <v>71311111</v>
      </c>
      <c r="C264" s="691" t="s">
        <v>1484</v>
      </c>
      <c r="D264" s="674" t="s">
        <v>46</v>
      </c>
      <c r="E264" s="669">
        <f>SUM(D265:D267)</f>
        <v>89.9</v>
      </c>
      <c r="F264" s="669"/>
      <c r="G264" s="200">
        <f>E264*F264</f>
        <v>0</v>
      </c>
      <c r="H264" s="85">
        <v>0</v>
      </c>
      <c r="I264" s="201">
        <f>E264*H264</f>
        <v>0</v>
      </c>
      <c r="J264" s="85">
        <v>0</v>
      </c>
      <c r="K264" s="85">
        <f>E264*J264</f>
        <v>0</v>
      </c>
      <c r="L264" s="85"/>
      <c r="M264" s="85"/>
      <c r="N264" s="202"/>
      <c r="O264" s="794"/>
      <c r="P264" s="806"/>
      <c r="Q264" s="806"/>
      <c r="R264" s="808"/>
      <c r="S264" s="203"/>
      <c r="T264" s="203"/>
    </row>
    <row r="265" spans="1:20" s="596" customFormat="1" ht="18" customHeight="1">
      <c r="A265" s="720"/>
      <c r="B265" s="721" t="s">
        <v>1685</v>
      </c>
      <c r="C265" s="848">
        <v>17.3</v>
      </c>
      <c r="D265" s="685">
        <f>17.3</f>
        <v>17.3</v>
      </c>
      <c r="E265" s="679"/>
      <c r="F265" s="679"/>
      <c r="G265" s="680"/>
      <c r="H265" s="592"/>
      <c r="I265" s="592"/>
      <c r="J265" s="593"/>
      <c r="K265" s="593"/>
      <c r="L265" s="593"/>
      <c r="M265" s="593"/>
      <c r="N265" s="594"/>
      <c r="O265" s="794"/>
      <c r="P265" s="806"/>
      <c r="Q265" s="806"/>
      <c r="R265" s="814"/>
      <c r="S265" s="595"/>
      <c r="T265" s="595"/>
    </row>
    <row r="266" spans="1:20" s="596" customFormat="1" ht="18" customHeight="1">
      <c r="A266" s="720"/>
      <c r="B266" s="721" t="s">
        <v>1795</v>
      </c>
      <c r="C266" s="758" t="s">
        <v>1797</v>
      </c>
      <c r="D266" s="759">
        <f>14.1+1+1.7+6.5+3.5+8.6+2.7+3.5</f>
        <v>41.6</v>
      </c>
      <c r="E266" s="760"/>
      <c r="F266" s="760"/>
      <c r="G266" s="761"/>
      <c r="H266" s="592"/>
      <c r="I266" s="592"/>
      <c r="J266" s="593"/>
      <c r="K266" s="593"/>
      <c r="L266" s="593"/>
      <c r="M266" s="593"/>
      <c r="N266" s="594"/>
      <c r="O266" s="794"/>
      <c r="P266" s="806"/>
      <c r="Q266" s="806"/>
      <c r="R266" s="814"/>
      <c r="S266" s="595"/>
      <c r="T266" s="595"/>
    </row>
    <row r="267" spans="1:20" s="596" customFormat="1" ht="18" customHeight="1">
      <c r="A267" s="720"/>
      <c r="B267" s="721" t="s">
        <v>1796</v>
      </c>
      <c r="C267" s="758" t="s">
        <v>1798</v>
      </c>
      <c r="D267" s="759">
        <f>22.4+8.6</f>
        <v>31</v>
      </c>
      <c r="E267" s="760"/>
      <c r="F267" s="760"/>
      <c r="G267" s="761"/>
      <c r="H267" s="592"/>
      <c r="I267" s="592"/>
      <c r="J267" s="593"/>
      <c r="K267" s="593"/>
      <c r="L267" s="593"/>
      <c r="M267" s="593"/>
      <c r="N267" s="594"/>
      <c r="O267" s="794"/>
      <c r="P267" s="806"/>
      <c r="Q267" s="806"/>
      <c r="R267" s="814"/>
      <c r="S267" s="595"/>
      <c r="T267" s="595"/>
    </row>
    <row r="268" spans="1:20" s="271" customFormat="1" ht="18" customHeight="1">
      <c r="A268" s="268" t="s">
        <v>1662</v>
      </c>
      <c r="B268" s="674">
        <v>63150983</v>
      </c>
      <c r="C268" s="691" t="s">
        <v>1485</v>
      </c>
      <c r="D268" s="674" t="s">
        <v>46</v>
      </c>
      <c r="E268" s="669">
        <f>SUM(D269)</f>
        <v>60.09800000000001</v>
      </c>
      <c r="F268" s="669"/>
      <c r="G268" s="200">
        <f>E268*F268</f>
        <v>0</v>
      </c>
      <c r="H268" s="85">
        <v>0.0008</v>
      </c>
      <c r="I268" s="201">
        <f>E268*H268</f>
        <v>0.048078400000000014</v>
      </c>
      <c r="J268" s="85">
        <v>0</v>
      </c>
      <c r="K268" s="85">
        <f>E268*J268</f>
        <v>0</v>
      </c>
      <c r="L268" s="85"/>
      <c r="M268" s="85"/>
      <c r="N268" s="202"/>
      <c r="O268" s="794"/>
      <c r="P268" s="806"/>
      <c r="Q268" s="806"/>
      <c r="R268" s="808"/>
      <c r="S268" s="203"/>
      <c r="T268" s="203"/>
    </row>
    <row r="269" spans="1:20" s="596" customFormat="1" ht="18" customHeight="1">
      <c r="A269" s="720"/>
      <c r="B269" s="721" t="s">
        <v>1799</v>
      </c>
      <c r="C269" s="206" t="s">
        <v>1801</v>
      </c>
      <c r="D269" s="685">
        <f>(17.3+14.1+1+1.7+6.5+3.5+8.6+2.7+3.5)*1.02+0.02</f>
        <v>60.09800000000001</v>
      </c>
      <c r="E269" s="679"/>
      <c r="F269" s="679"/>
      <c r="G269" s="680"/>
      <c r="H269" s="592"/>
      <c r="I269" s="592"/>
      <c r="J269" s="593"/>
      <c r="K269" s="593"/>
      <c r="L269" s="593"/>
      <c r="M269" s="593"/>
      <c r="N269" s="594"/>
      <c r="O269" s="794"/>
      <c r="P269" s="849"/>
      <c r="Q269" s="849"/>
      <c r="R269" s="849"/>
      <c r="S269" s="806"/>
      <c r="T269" s="595"/>
    </row>
    <row r="270" spans="1:20" s="271" customFormat="1" ht="33.75" customHeight="1">
      <c r="A270" s="268" t="s">
        <v>1663</v>
      </c>
      <c r="B270" s="674">
        <v>63150930</v>
      </c>
      <c r="C270" s="691" t="s">
        <v>1597</v>
      </c>
      <c r="D270" s="674" t="s">
        <v>46</v>
      </c>
      <c r="E270" s="669">
        <f>SUM(D271)</f>
        <v>31.6</v>
      </c>
      <c r="F270" s="669"/>
      <c r="G270" s="200">
        <f>E270*F270</f>
        <v>0</v>
      </c>
      <c r="H270" s="85">
        <v>0.00114</v>
      </c>
      <c r="I270" s="201">
        <f>E270*H270</f>
        <v>0.036024</v>
      </c>
      <c r="J270" s="85">
        <v>0</v>
      </c>
      <c r="K270" s="85">
        <f>E270*J270</f>
        <v>0</v>
      </c>
      <c r="L270" s="85"/>
      <c r="M270" s="85"/>
      <c r="N270" s="202"/>
      <c r="O270" s="794"/>
      <c r="P270" s="806"/>
      <c r="Q270" s="806"/>
      <c r="R270" s="808"/>
      <c r="S270" s="203"/>
      <c r="T270" s="203"/>
    </row>
    <row r="271" spans="1:20" s="596" customFormat="1" ht="18" customHeight="1">
      <c r="A271" s="720"/>
      <c r="B271" s="721" t="s">
        <v>1796</v>
      </c>
      <c r="C271" s="758" t="s">
        <v>1800</v>
      </c>
      <c r="D271" s="759">
        <f>(22.4+8.6)*1.02-0.02</f>
        <v>31.6</v>
      </c>
      <c r="E271" s="760"/>
      <c r="F271" s="760"/>
      <c r="G271" s="761"/>
      <c r="H271" s="592"/>
      <c r="I271" s="592"/>
      <c r="J271" s="593"/>
      <c r="K271" s="593"/>
      <c r="L271" s="593"/>
      <c r="M271" s="593"/>
      <c r="N271" s="594"/>
      <c r="O271" s="794"/>
      <c r="P271" s="806"/>
      <c r="Q271" s="806"/>
      <c r="R271" s="814"/>
      <c r="S271" s="595"/>
      <c r="T271" s="595"/>
    </row>
    <row r="272" spans="1:20" s="271" customFormat="1" ht="30" customHeight="1">
      <c r="A272" s="268" t="s">
        <v>1664</v>
      </c>
      <c r="B272" s="674" t="s">
        <v>1601</v>
      </c>
      <c r="C272" s="691" t="s">
        <v>1602</v>
      </c>
      <c r="D272" s="674" t="s">
        <v>46</v>
      </c>
      <c r="E272" s="669">
        <f>SUM(D273)</f>
        <v>99.00000000000001</v>
      </c>
      <c r="F272" s="669"/>
      <c r="G272" s="200">
        <f>E272*F272</f>
        <v>0</v>
      </c>
      <c r="H272" s="85">
        <v>0</v>
      </c>
      <c r="I272" s="201">
        <f>E272*H272</f>
        <v>0</v>
      </c>
      <c r="J272" s="85">
        <v>0</v>
      </c>
      <c r="K272" s="85">
        <f>E272*J272</f>
        <v>0</v>
      </c>
      <c r="L272" s="85"/>
      <c r="M272" s="85"/>
      <c r="N272" s="202"/>
      <c r="O272" s="794"/>
      <c r="P272" s="806"/>
      <c r="Q272" s="806"/>
      <c r="R272" s="814"/>
      <c r="S272" s="595"/>
      <c r="T272" s="595"/>
    </row>
    <row r="273" spans="1:20" s="596" customFormat="1" ht="18" customHeight="1">
      <c r="A273" s="720"/>
      <c r="B273" s="757"/>
      <c r="C273" s="206" t="s">
        <v>1802</v>
      </c>
      <c r="D273" s="759">
        <f>(17.3+14.1+1+1.7+6.5+3.5+8.6+2.7+3.5+22.4+8.6)*1.1+0.11</f>
        <v>99.00000000000001</v>
      </c>
      <c r="E273" s="760"/>
      <c r="F273" s="760"/>
      <c r="G273" s="761"/>
      <c r="H273" s="592"/>
      <c r="I273" s="592"/>
      <c r="J273" s="593"/>
      <c r="K273" s="593"/>
      <c r="L273" s="593"/>
      <c r="M273" s="593"/>
      <c r="N273" s="594"/>
      <c r="O273" s="794"/>
      <c r="P273" s="806"/>
      <c r="Q273" s="806"/>
      <c r="R273" s="808"/>
      <c r="S273" s="203"/>
      <c r="T273" s="203"/>
    </row>
    <row r="274" spans="1:20" s="271" customFormat="1" ht="18" customHeight="1">
      <c r="A274" s="268" t="s">
        <v>1665</v>
      </c>
      <c r="B274" s="674">
        <v>28329012</v>
      </c>
      <c r="C274" s="691" t="s">
        <v>1487</v>
      </c>
      <c r="D274" s="674" t="s">
        <v>46</v>
      </c>
      <c r="E274" s="669">
        <f>SUM(D275)</f>
        <v>103.39500000000001</v>
      </c>
      <c r="F274" s="669"/>
      <c r="G274" s="200">
        <f>E274*F274</f>
        <v>0</v>
      </c>
      <c r="H274" s="85">
        <v>0.00014</v>
      </c>
      <c r="I274" s="201">
        <f>E274*H274</f>
        <v>0.0144753</v>
      </c>
      <c r="J274" s="85">
        <v>0</v>
      </c>
      <c r="K274" s="85">
        <f>E274*J274</f>
        <v>0</v>
      </c>
      <c r="L274" s="85"/>
      <c r="M274" s="85"/>
      <c r="N274" s="202"/>
      <c r="O274" s="794"/>
      <c r="P274" s="806"/>
      <c r="Q274" s="806"/>
      <c r="R274" s="814"/>
      <c r="S274" s="595"/>
      <c r="T274" s="595"/>
    </row>
    <row r="275" spans="1:20" s="596" customFormat="1" ht="18" customHeight="1">
      <c r="A275" s="720"/>
      <c r="B275" s="757"/>
      <c r="C275" s="206" t="s">
        <v>1803</v>
      </c>
      <c r="D275" s="759">
        <f>(17.3+14.1+1+1.7+6.5+3.5+8.6+2.7+3.5+22.4+8.6)*1.15+0.01</f>
        <v>103.39500000000001</v>
      </c>
      <c r="E275" s="760"/>
      <c r="F275" s="760"/>
      <c r="G275" s="761"/>
      <c r="H275" s="592"/>
      <c r="I275" s="592"/>
      <c r="J275" s="593"/>
      <c r="K275" s="593"/>
      <c r="L275" s="593"/>
      <c r="M275" s="593"/>
      <c r="N275" s="594"/>
      <c r="O275" s="794"/>
      <c r="P275" s="806"/>
      <c r="Q275" s="806"/>
      <c r="R275" s="808"/>
      <c r="S275" s="203"/>
      <c r="T275" s="203"/>
    </row>
    <row r="276" spans="1:20" s="271" customFormat="1" ht="12.75">
      <c r="A276" s="690"/>
      <c r="B276" s="674"/>
      <c r="C276" s="691"/>
      <c r="D276" s="674"/>
      <c r="E276" s="669"/>
      <c r="F276" s="669"/>
      <c r="G276" s="692"/>
      <c r="H276" s="85"/>
      <c r="I276" s="85"/>
      <c r="J276" s="85"/>
      <c r="K276" s="85"/>
      <c r="L276" s="85"/>
      <c r="M276" s="85"/>
      <c r="N276" s="202"/>
      <c r="O276" s="794"/>
      <c r="P276" s="806"/>
      <c r="Q276" s="806"/>
      <c r="R276" s="814"/>
      <c r="S276" s="595"/>
      <c r="T276" s="595"/>
    </row>
    <row r="277" spans="1:20" s="271" customFormat="1" ht="31.5" customHeight="1">
      <c r="A277" s="268" t="s">
        <v>1686</v>
      </c>
      <c r="B277" s="674" t="s">
        <v>1483</v>
      </c>
      <c r="C277" s="691" t="s">
        <v>1488</v>
      </c>
      <c r="D277" s="674" t="s">
        <v>46</v>
      </c>
      <c r="E277" s="669">
        <f>SUM(D278)</f>
        <v>41.6</v>
      </c>
      <c r="F277" s="669"/>
      <c r="G277" s="200">
        <f>E277*F277</f>
        <v>0</v>
      </c>
      <c r="H277" s="85">
        <v>0.01259</v>
      </c>
      <c r="I277" s="201">
        <f>E277*H277</f>
        <v>0.523744</v>
      </c>
      <c r="J277" s="85">
        <v>0</v>
      </c>
      <c r="K277" s="85">
        <f>E277*J277</f>
        <v>0</v>
      </c>
      <c r="L277" s="85"/>
      <c r="M277" s="85"/>
      <c r="N277" s="202"/>
      <c r="O277" s="794"/>
      <c r="P277" s="806"/>
      <c r="Q277" s="806"/>
      <c r="R277" s="808"/>
      <c r="S277" s="203"/>
      <c r="T277" s="203"/>
    </row>
    <row r="278" spans="1:20" s="596" customFormat="1" ht="18" customHeight="1">
      <c r="A278" s="268"/>
      <c r="B278" s="721"/>
      <c r="C278" s="758" t="s">
        <v>1797</v>
      </c>
      <c r="D278" s="759">
        <f>14.1+1+1.7+6.5+3.5+8.6+2.7+3.5</f>
        <v>41.6</v>
      </c>
      <c r="E278" s="679"/>
      <c r="F278" s="679"/>
      <c r="G278" s="680"/>
      <c r="H278" s="592"/>
      <c r="I278" s="592"/>
      <c r="J278" s="593"/>
      <c r="K278" s="593"/>
      <c r="L278" s="593"/>
      <c r="M278" s="593"/>
      <c r="N278" s="594"/>
      <c r="O278" s="794"/>
      <c r="P278" s="806"/>
      <c r="Q278" s="806"/>
      <c r="R278" s="808"/>
      <c r="S278" s="203"/>
      <c r="T278" s="203"/>
    </row>
    <row r="279" spans="1:20" s="271" customFormat="1" ht="12.75">
      <c r="A279" s="690"/>
      <c r="B279" s="674"/>
      <c r="C279" s="691"/>
      <c r="D279" s="674"/>
      <c r="E279" s="669"/>
      <c r="F279" s="669"/>
      <c r="G279" s="692"/>
      <c r="H279" s="85"/>
      <c r="I279" s="85"/>
      <c r="J279" s="85"/>
      <c r="K279" s="85"/>
      <c r="L279" s="85"/>
      <c r="M279" s="85"/>
      <c r="N279" s="202"/>
      <c r="O279" s="794"/>
      <c r="P279" s="806"/>
      <c r="Q279" s="806"/>
      <c r="R279" s="814"/>
      <c r="S279" s="595"/>
      <c r="T279" s="595"/>
    </row>
    <row r="280" spans="1:20" s="271" customFormat="1" ht="30" customHeight="1">
      <c r="A280" s="961" t="s">
        <v>1687</v>
      </c>
      <c r="B280" s="957" t="s">
        <v>2340</v>
      </c>
      <c r="C280" s="956" t="s">
        <v>2329</v>
      </c>
      <c r="D280" s="957" t="s">
        <v>175</v>
      </c>
      <c r="E280" s="958">
        <v>1</v>
      </c>
      <c r="F280" s="958"/>
      <c r="G280" s="200">
        <f>E280*F280</f>
        <v>0</v>
      </c>
      <c r="H280" s="85">
        <v>0</v>
      </c>
      <c r="I280" s="201">
        <f>E280*H280</f>
        <v>0</v>
      </c>
      <c r="J280" s="85">
        <v>0</v>
      </c>
      <c r="K280" s="85">
        <f aca="true" t="shared" si="3" ref="K280:K281">E280*J280</f>
        <v>0</v>
      </c>
      <c r="L280" s="85"/>
      <c r="M280" s="85"/>
      <c r="N280" s="202"/>
      <c r="O280" s="203"/>
      <c r="P280" s="203"/>
      <c r="Q280" s="203"/>
      <c r="R280" s="203"/>
      <c r="S280" s="203"/>
      <c r="T280" s="203"/>
    </row>
    <row r="281" spans="1:20" s="271" customFormat="1" ht="19.5" customHeight="1">
      <c r="A281" s="961" t="s">
        <v>1688</v>
      </c>
      <c r="B281" s="957" t="s">
        <v>2338</v>
      </c>
      <c r="C281" s="956" t="s">
        <v>2330</v>
      </c>
      <c r="D281" s="957" t="s">
        <v>175</v>
      </c>
      <c r="E281" s="958">
        <v>1</v>
      </c>
      <c r="F281" s="958"/>
      <c r="G281" s="200">
        <f>E281*F281</f>
        <v>0</v>
      </c>
      <c r="H281" s="85">
        <v>0.001</v>
      </c>
      <c r="I281" s="201">
        <f>E281*H281</f>
        <v>0.001</v>
      </c>
      <c r="J281" s="85">
        <v>0</v>
      </c>
      <c r="K281" s="85">
        <f t="shared" si="3"/>
        <v>0</v>
      </c>
      <c r="L281" s="85"/>
      <c r="M281" s="85"/>
      <c r="N281" s="202"/>
      <c r="O281" s="203"/>
      <c r="P281" s="203"/>
      <c r="Q281" s="203"/>
      <c r="R281" s="203"/>
      <c r="S281" s="203"/>
      <c r="T281" s="203"/>
    </row>
    <row r="282" spans="1:20" s="271" customFormat="1" ht="13">
      <c r="A282" s="961"/>
      <c r="B282" s="957"/>
      <c r="C282" s="956"/>
      <c r="D282" s="957"/>
      <c r="E282" s="958"/>
      <c r="F282" s="958"/>
      <c r="G282" s="959"/>
      <c r="H282" s="85"/>
      <c r="I282" s="201"/>
      <c r="J282" s="85"/>
      <c r="K282" s="85"/>
      <c r="L282" s="85"/>
      <c r="M282" s="85"/>
      <c r="N282" s="202"/>
      <c r="O282" s="203"/>
      <c r="P282" s="203"/>
      <c r="Q282" s="203"/>
      <c r="R282" s="203"/>
      <c r="S282" s="203"/>
      <c r="T282" s="203"/>
    </row>
    <row r="283" spans="1:20" s="271" customFormat="1" ht="29.25" customHeight="1">
      <c r="A283" s="961" t="s">
        <v>1831</v>
      </c>
      <c r="B283" s="957">
        <v>763172353</v>
      </c>
      <c r="C283" s="956" t="s">
        <v>2331</v>
      </c>
      <c r="D283" s="957" t="s">
        <v>175</v>
      </c>
      <c r="E283" s="958">
        <v>3</v>
      </c>
      <c r="F283" s="958"/>
      <c r="G283" s="200">
        <f aca="true" t="shared" si="4" ref="G283:G284">E283*F283</f>
        <v>0</v>
      </c>
      <c r="H283" s="85">
        <v>0</v>
      </c>
      <c r="I283" s="201">
        <f>E283*H283</f>
        <v>0</v>
      </c>
      <c r="J283" s="85">
        <v>0</v>
      </c>
      <c r="K283" s="85">
        <f>E283*J283</f>
        <v>0</v>
      </c>
      <c r="L283" s="85"/>
      <c r="M283" s="85"/>
      <c r="N283" s="202"/>
      <c r="O283" s="203"/>
      <c r="P283" s="203"/>
      <c r="Q283" s="203"/>
      <c r="R283" s="203"/>
      <c r="S283" s="203"/>
      <c r="T283" s="203"/>
    </row>
    <row r="284" spans="1:20" s="271" customFormat="1" ht="19.5" customHeight="1">
      <c r="A284" s="961" t="s">
        <v>1852</v>
      </c>
      <c r="B284" s="957" t="s">
        <v>2339</v>
      </c>
      <c r="C284" s="956" t="s">
        <v>2332</v>
      </c>
      <c r="D284" s="957" t="s">
        <v>175</v>
      </c>
      <c r="E284" s="958">
        <v>3</v>
      </c>
      <c r="F284" s="958"/>
      <c r="G284" s="200">
        <f t="shared" si="4"/>
        <v>0</v>
      </c>
      <c r="H284" s="85">
        <v>0.002</v>
      </c>
      <c r="I284" s="201">
        <f>E284*H284</f>
        <v>0.006</v>
      </c>
      <c r="J284" s="85">
        <v>0</v>
      </c>
      <c r="K284" s="85">
        <f>E284*J284</f>
        <v>0</v>
      </c>
      <c r="L284" s="85"/>
      <c r="M284" s="85"/>
      <c r="N284" s="202"/>
      <c r="O284" s="203"/>
      <c r="P284" s="203"/>
      <c r="Q284" s="203"/>
      <c r="R284" s="203"/>
      <c r="S284" s="203"/>
      <c r="T284" s="203"/>
    </row>
    <row r="285" spans="1:20" s="271" customFormat="1" ht="12.75">
      <c r="A285" s="690"/>
      <c r="B285" s="674"/>
      <c r="C285" s="691"/>
      <c r="D285" s="674"/>
      <c r="E285" s="669"/>
      <c r="F285" s="669"/>
      <c r="G285" s="692"/>
      <c r="H285" s="85"/>
      <c r="I285" s="85"/>
      <c r="J285" s="85"/>
      <c r="K285" s="85"/>
      <c r="L285" s="85"/>
      <c r="M285" s="85"/>
      <c r="N285" s="202"/>
      <c r="O285" s="203"/>
      <c r="P285" s="203"/>
      <c r="Q285" s="203"/>
      <c r="R285" s="203"/>
      <c r="S285" s="203"/>
      <c r="T285" s="203"/>
    </row>
    <row r="286" spans="1:20" s="271" customFormat="1" ht="29.25" customHeight="1">
      <c r="A286" s="961" t="s">
        <v>1853</v>
      </c>
      <c r="B286" s="957">
        <v>763172354</v>
      </c>
      <c r="C286" s="956" t="s">
        <v>2349</v>
      </c>
      <c r="D286" s="957" t="s">
        <v>175</v>
      </c>
      <c r="E286" s="958">
        <v>1</v>
      </c>
      <c r="F286" s="958"/>
      <c r="G286" s="200">
        <f aca="true" t="shared" si="5" ref="G286:G287">E286*F286</f>
        <v>0</v>
      </c>
      <c r="H286" s="85">
        <v>0</v>
      </c>
      <c r="I286" s="201">
        <f>E286*H286</f>
        <v>0</v>
      </c>
      <c r="J286" s="85">
        <v>0</v>
      </c>
      <c r="K286" s="85">
        <f>E286*J286</f>
        <v>0</v>
      </c>
      <c r="L286" s="85"/>
      <c r="M286" s="85"/>
      <c r="N286" s="202"/>
      <c r="O286" s="203"/>
      <c r="P286" s="203"/>
      <c r="Q286" s="203"/>
      <c r="R286" s="203"/>
      <c r="S286" s="203"/>
      <c r="T286" s="203"/>
    </row>
    <row r="287" spans="1:20" s="271" customFormat="1" ht="19.5" customHeight="1">
      <c r="A287" s="961" t="s">
        <v>1854</v>
      </c>
      <c r="B287" s="957">
        <v>59030713</v>
      </c>
      <c r="C287" s="956" t="s">
        <v>2406</v>
      </c>
      <c r="D287" s="957" t="s">
        <v>175</v>
      </c>
      <c r="E287" s="958">
        <v>1</v>
      </c>
      <c r="F287" s="958"/>
      <c r="G287" s="200">
        <f t="shared" si="5"/>
        <v>0</v>
      </c>
      <c r="H287" s="85">
        <v>0.0032</v>
      </c>
      <c r="I287" s="201">
        <f>E287*H287</f>
        <v>0.0032</v>
      </c>
      <c r="J287" s="85">
        <v>0</v>
      </c>
      <c r="K287" s="85">
        <f>E287*J287</f>
        <v>0</v>
      </c>
      <c r="L287" s="85"/>
      <c r="M287" s="85"/>
      <c r="N287" s="202"/>
      <c r="O287" s="203"/>
      <c r="P287" s="203"/>
      <c r="Q287" s="203"/>
      <c r="R287" s="203"/>
      <c r="S287" s="203"/>
      <c r="T287" s="203"/>
    </row>
    <row r="288" spans="1:20" s="271" customFormat="1" ht="12.75">
      <c r="A288" s="690"/>
      <c r="B288" s="674"/>
      <c r="C288" s="691"/>
      <c r="D288" s="674"/>
      <c r="E288" s="669"/>
      <c r="F288" s="669"/>
      <c r="G288" s="692"/>
      <c r="H288" s="85"/>
      <c r="I288" s="85"/>
      <c r="J288" s="85"/>
      <c r="K288" s="85"/>
      <c r="L288" s="85"/>
      <c r="M288" s="85"/>
      <c r="N288" s="202"/>
      <c r="O288" s="203"/>
      <c r="P288" s="203"/>
      <c r="Q288" s="203"/>
      <c r="R288" s="203"/>
      <c r="S288" s="203"/>
      <c r="T288" s="203"/>
    </row>
    <row r="289" spans="1:20" s="596" customFormat="1" ht="18" customHeight="1">
      <c r="A289" s="720"/>
      <c r="B289" s="253" t="s">
        <v>1030</v>
      </c>
      <c r="C289" s="762" t="s">
        <v>1600</v>
      </c>
      <c r="D289" s="759"/>
      <c r="E289" s="760"/>
      <c r="F289" s="760"/>
      <c r="G289" s="761"/>
      <c r="H289" s="592"/>
      <c r="I289" s="592"/>
      <c r="J289" s="593"/>
      <c r="K289" s="593"/>
      <c r="L289" s="593"/>
      <c r="M289" s="593"/>
      <c r="N289" s="594"/>
      <c r="O289" s="794"/>
      <c r="P289" s="806"/>
      <c r="Q289" s="806"/>
      <c r="R289" s="814"/>
      <c r="S289" s="595"/>
      <c r="T289" s="595"/>
    </row>
    <row r="290" spans="1:20" s="271" customFormat="1" ht="22">
      <c r="A290" s="961" t="s">
        <v>1855</v>
      </c>
      <c r="B290" s="763" t="s">
        <v>1599</v>
      </c>
      <c r="C290" s="764" t="s">
        <v>1806</v>
      </c>
      <c r="D290" s="763" t="s">
        <v>46</v>
      </c>
      <c r="E290" s="739">
        <f>SUM(D291)</f>
        <v>24.3</v>
      </c>
      <c r="F290" s="739"/>
      <c r="G290" s="200">
        <f>E290*F290</f>
        <v>0</v>
      </c>
      <c r="H290" s="85">
        <v>0.0122</v>
      </c>
      <c r="I290" s="201">
        <f>E290*H290</f>
        <v>0.29646</v>
      </c>
      <c r="J290" s="85">
        <v>0</v>
      </c>
      <c r="K290" s="85">
        <f>E290*J290</f>
        <v>0</v>
      </c>
      <c r="L290" s="85"/>
      <c r="M290" s="85"/>
      <c r="N290" s="202"/>
      <c r="O290" s="794"/>
      <c r="P290" s="806"/>
      <c r="Q290" s="806"/>
      <c r="R290" s="814"/>
      <c r="S290" s="595"/>
      <c r="T290" s="595"/>
    </row>
    <row r="291" spans="1:20" s="596" customFormat="1" ht="18" customHeight="1">
      <c r="A291" s="268"/>
      <c r="B291" s="721"/>
      <c r="C291" s="848" t="s">
        <v>1805</v>
      </c>
      <c r="D291" s="685">
        <f>9.5+2+12.8</f>
        <v>24.3</v>
      </c>
      <c r="E291" s="679"/>
      <c r="F291" s="679"/>
      <c r="G291" s="680"/>
      <c r="H291" s="592"/>
      <c r="I291" s="592"/>
      <c r="J291" s="593"/>
      <c r="K291" s="593"/>
      <c r="L291" s="593"/>
      <c r="M291" s="593"/>
      <c r="N291" s="594"/>
      <c r="O291" s="794"/>
      <c r="P291" s="849"/>
      <c r="Q291" s="849"/>
      <c r="R291" s="849"/>
      <c r="S291" s="203"/>
      <c r="T291" s="203"/>
    </row>
    <row r="292" spans="1:20" s="271" customFormat="1" ht="31.5" customHeight="1">
      <c r="A292" s="961" t="s">
        <v>2408</v>
      </c>
      <c r="B292" s="674" t="s">
        <v>1598</v>
      </c>
      <c r="C292" s="691" t="s">
        <v>1807</v>
      </c>
      <c r="D292" s="674" t="s">
        <v>46</v>
      </c>
      <c r="E292" s="739">
        <f>SUM(D293)</f>
        <v>26.8</v>
      </c>
      <c r="F292" s="669"/>
      <c r="G292" s="200">
        <f>E292*F292</f>
        <v>0</v>
      </c>
      <c r="H292" s="85">
        <v>0.015</v>
      </c>
      <c r="I292" s="201">
        <f>E292*H292</f>
        <v>0.40199999999999997</v>
      </c>
      <c r="J292" s="85">
        <v>0</v>
      </c>
      <c r="K292" s="85">
        <f>E292*J292</f>
        <v>0</v>
      </c>
      <c r="L292" s="85"/>
      <c r="M292" s="85"/>
      <c r="N292" s="202"/>
      <c r="O292" s="794"/>
      <c r="P292" s="806"/>
      <c r="Q292" s="806"/>
      <c r="R292" s="814"/>
      <c r="S292" s="595"/>
      <c r="T292" s="595"/>
    </row>
    <row r="293" spans="1:20" s="251" customFormat="1" ht="20.25" customHeight="1">
      <c r="A293" s="268"/>
      <c r="B293" s="205"/>
      <c r="C293" s="245" t="s">
        <v>1804</v>
      </c>
      <c r="D293" s="246">
        <f>8.9+6.9+11</f>
        <v>26.8</v>
      </c>
      <c r="E293" s="419"/>
      <c r="F293" s="419"/>
      <c r="G293" s="248"/>
      <c r="H293" s="249"/>
      <c r="I293" s="250"/>
      <c r="J293" s="250"/>
      <c r="K293" s="250"/>
      <c r="L293" s="250"/>
      <c r="O293" s="794"/>
      <c r="P293" s="806"/>
      <c r="Q293" s="806"/>
      <c r="R293" s="808"/>
      <c r="S293" s="203"/>
      <c r="T293" s="203"/>
    </row>
    <row r="294" spans="1:20" ht="12.75">
      <c r="A294" s="572"/>
      <c r="B294" s="305"/>
      <c r="C294" s="306"/>
      <c r="D294" s="489"/>
      <c r="E294" s="585"/>
      <c r="F294" s="586"/>
      <c r="G294" s="587"/>
      <c r="H294" s="77"/>
      <c r="I294" s="291"/>
      <c r="J294" s="77"/>
      <c r="K294" s="77"/>
      <c r="L294" s="77"/>
      <c r="M294" s="77"/>
      <c r="N294" s="78"/>
      <c r="O294" s="794"/>
      <c r="P294" s="806"/>
      <c r="Q294" s="806"/>
      <c r="R294" s="814"/>
      <c r="S294" s="595"/>
      <c r="T294" s="595"/>
    </row>
    <row r="295" spans="1:20" s="267" customFormat="1" ht="17.25" customHeight="1">
      <c r="A295" s="262"/>
      <c r="B295" s="253" t="s">
        <v>1232</v>
      </c>
      <c r="C295" s="254" t="s">
        <v>1354</v>
      </c>
      <c r="D295" s="253"/>
      <c r="E295" s="256"/>
      <c r="F295" s="256"/>
      <c r="G295" s="460"/>
      <c r="H295" s="264"/>
      <c r="I295" s="264"/>
      <c r="J295" s="264"/>
      <c r="K295" s="264"/>
      <c r="L295" s="264"/>
      <c r="M295" s="264"/>
      <c r="N295" s="265"/>
      <c r="O295" s="794"/>
      <c r="P295" s="806"/>
      <c r="Q295" s="806"/>
      <c r="R295" s="808"/>
      <c r="S295" s="203"/>
      <c r="T295" s="203"/>
    </row>
    <row r="296" spans="1:20" s="271" customFormat="1" ht="27" customHeight="1">
      <c r="A296" s="961" t="s">
        <v>2409</v>
      </c>
      <c r="B296" s="674">
        <v>71311111</v>
      </c>
      <c r="C296" s="691" t="s">
        <v>1484</v>
      </c>
      <c r="D296" s="674" t="s">
        <v>46</v>
      </c>
      <c r="E296" s="669">
        <v>23.9</v>
      </c>
      <c r="F296" s="669"/>
      <c r="G296" s="200">
        <f>E296*F296</f>
        <v>0</v>
      </c>
      <c r="H296" s="85">
        <v>0</v>
      </c>
      <c r="I296" s="201">
        <f>E296*H296</f>
        <v>0</v>
      </c>
      <c r="J296" s="85">
        <v>0</v>
      </c>
      <c r="K296" s="85">
        <f>E296*J296</f>
        <v>0</v>
      </c>
      <c r="L296" s="85"/>
      <c r="M296" s="85"/>
      <c r="N296" s="202"/>
      <c r="O296" s="794"/>
      <c r="P296" s="806"/>
      <c r="Q296" s="806"/>
      <c r="R296" s="833"/>
      <c r="S296" s="266"/>
      <c r="T296" s="266"/>
    </row>
    <row r="297" spans="1:20" s="271" customFormat="1" ht="18" customHeight="1">
      <c r="A297" s="961" t="s">
        <v>2410</v>
      </c>
      <c r="B297" s="674">
        <v>63150983</v>
      </c>
      <c r="C297" s="691" t="s">
        <v>1485</v>
      </c>
      <c r="D297" s="674" t="s">
        <v>46</v>
      </c>
      <c r="E297" s="669">
        <f>1.02*E296+0.02</f>
        <v>24.398</v>
      </c>
      <c r="F297" s="669"/>
      <c r="G297" s="200">
        <f>E297*F297</f>
        <v>0</v>
      </c>
      <c r="H297" s="85">
        <v>0.0036</v>
      </c>
      <c r="I297" s="201">
        <f>E297*H297</f>
        <v>0.0878328</v>
      </c>
      <c r="J297" s="85">
        <v>0</v>
      </c>
      <c r="K297" s="85">
        <f>E297*J297</f>
        <v>0</v>
      </c>
      <c r="L297" s="85"/>
      <c r="M297" s="85"/>
      <c r="N297" s="202"/>
      <c r="O297" s="796"/>
      <c r="P297" s="806"/>
      <c r="Q297" s="806"/>
      <c r="R297" s="808"/>
      <c r="S297" s="203"/>
      <c r="T297" s="203"/>
    </row>
    <row r="298" spans="1:20" s="271" customFormat="1" ht="21.75" customHeight="1">
      <c r="A298" s="961" t="s">
        <v>2421</v>
      </c>
      <c r="B298" s="674">
        <v>713291132</v>
      </c>
      <c r="C298" s="691" t="s">
        <v>1744</v>
      </c>
      <c r="D298" s="674" t="s">
        <v>46</v>
      </c>
      <c r="E298" s="669">
        <f>SUM(D299)</f>
        <v>26.3</v>
      </c>
      <c r="F298" s="669"/>
      <c r="G298" s="200">
        <f>E298*F298</f>
        <v>0</v>
      </c>
      <c r="H298" s="85">
        <v>0</v>
      </c>
      <c r="I298" s="201">
        <f>E298*H298</f>
        <v>0</v>
      </c>
      <c r="J298" s="85">
        <v>0</v>
      </c>
      <c r="K298" s="85">
        <f>E298*J298</f>
        <v>0</v>
      </c>
      <c r="L298" s="85"/>
      <c r="M298" s="85"/>
      <c r="N298" s="202"/>
      <c r="O298" s="796"/>
      <c r="P298" s="806"/>
      <c r="Q298" s="806"/>
      <c r="R298" s="808"/>
      <c r="S298" s="203"/>
      <c r="T298" s="203"/>
    </row>
    <row r="299" spans="1:20" s="596" customFormat="1" ht="18" customHeight="1">
      <c r="A299" s="720"/>
      <c r="B299" s="757"/>
      <c r="C299" s="758" t="s">
        <v>1745</v>
      </c>
      <c r="D299" s="759">
        <f>23.9*1.1+0.01</f>
        <v>26.3</v>
      </c>
      <c r="E299" s="760"/>
      <c r="F299" s="760"/>
      <c r="G299" s="761"/>
      <c r="H299" s="592"/>
      <c r="I299" s="592"/>
      <c r="J299" s="593"/>
      <c r="K299" s="593"/>
      <c r="L299" s="593"/>
      <c r="M299" s="593"/>
      <c r="N299" s="594"/>
      <c r="O299" s="794"/>
      <c r="P299" s="806"/>
      <c r="Q299" s="806"/>
      <c r="R299" s="808"/>
      <c r="S299" s="203"/>
      <c r="T299" s="203"/>
    </row>
    <row r="300" spans="1:20" s="271" customFormat="1" ht="18" customHeight="1">
      <c r="A300" s="961" t="s">
        <v>2422</v>
      </c>
      <c r="B300" s="674">
        <v>28329012</v>
      </c>
      <c r="C300" s="691" t="s">
        <v>1487</v>
      </c>
      <c r="D300" s="674" t="s">
        <v>46</v>
      </c>
      <c r="E300" s="669">
        <f>SUM(D301)</f>
        <v>27.494999999999997</v>
      </c>
      <c r="F300" s="669"/>
      <c r="G300" s="200">
        <f>E300*F300</f>
        <v>0</v>
      </c>
      <c r="H300" s="85">
        <v>0.00014</v>
      </c>
      <c r="I300" s="201">
        <f>E300*H300</f>
        <v>0.0038492999999999995</v>
      </c>
      <c r="J300" s="85">
        <v>0</v>
      </c>
      <c r="K300" s="85">
        <f>E300*J300</f>
        <v>0</v>
      </c>
      <c r="L300" s="85"/>
      <c r="M300" s="85"/>
      <c r="N300" s="202"/>
      <c r="O300" s="794"/>
      <c r="P300" s="806"/>
      <c r="Q300" s="806"/>
      <c r="R300" s="814"/>
      <c r="S300" s="595"/>
      <c r="T300" s="595"/>
    </row>
    <row r="301" spans="1:20" s="596" customFormat="1" ht="18" customHeight="1">
      <c r="A301" s="720"/>
      <c r="B301" s="721"/>
      <c r="C301" s="206" t="s">
        <v>1746</v>
      </c>
      <c r="D301" s="685">
        <f>23.9*1.15+0.01</f>
        <v>27.494999999999997</v>
      </c>
      <c r="E301" s="679"/>
      <c r="F301" s="679"/>
      <c r="G301" s="680"/>
      <c r="H301" s="592"/>
      <c r="I301" s="592"/>
      <c r="J301" s="593"/>
      <c r="K301" s="593"/>
      <c r="L301" s="593"/>
      <c r="M301" s="593"/>
      <c r="N301" s="594"/>
      <c r="O301" s="794"/>
      <c r="P301" s="806"/>
      <c r="Q301" s="806"/>
      <c r="R301" s="808"/>
      <c r="S301" s="203"/>
      <c r="T301" s="203"/>
    </row>
    <row r="302" spans="1:20" s="271" customFormat="1" ht="22">
      <c r="A302" s="961" t="s">
        <v>2423</v>
      </c>
      <c r="B302" s="674" t="s">
        <v>1483</v>
      </c>
      <c r="C302" s="691" t="s">
        <v>1488</v>
      </c>
      <c r="D302" s="674" t="s">
        <v>46</v>
      </c>
      <c r="E302" s="669">
        <v>23.9</v>
      </c>
      <c r="F302" s="669"/>
      <c r="G302" s="200">
        <f>E302*F302</f>
        <v>0</v>
      </c>
      <c r="H302" s="85">
        <v>0.01259</v>
      </c>
      <c r="I302" s="201">
        <f>E302*H302</f>
        <v>0.300901</v>
      </c>
      <c r="J302" s="85">
        <v>0</v>
      </c>
      <c r="K302" s="85">
        <f>E302*J302</f>
        <v>0</v>
      </c>
      <c r="L302" s="85"/>
      <c r="M302" s="85"/>
      <c r="N302" s="202"/>
      <c r="O302" s="794"/>
      <c r="P302" s="806"/>
      <c r="Q302" s="806"/>
      <c r="R302" s="814"/>
      <c r="S302" s="595"/>
      <c r="T302" s="595"/>
    </row>
    <row r="303" spans="1:20" s="204" customFormat="1" ht="14" thickBot="1">
      <c r="A303" s="286"/>
      <c r="B303" s="219"/>
      <c r="C303" s="220"/>
      <c r="D303" s="221"/>
      <c r="E303" s="223"/>
      <c r="F303" s="223"/>
      <c r="G303" s="287"/>
      <c r="H303" s="85"/>
      <c r="I303" s="85"/>
      <c r="J303" s="85"/>
      <c r="K303" s="85"/>
      <c r="L303" s="85"/>
      <c r="M303" s="85"/>
      <c r="N303" s="202"/>
      <c r="O303" s="793"/>
      <c r="P303" s="804"/>
      <c r="Q303" s="804"/>
      <c r="R303" s="805"/>
      <c r="S303" s="580"/>
      <c r="T303" s="580"/>
    </row>
    <row r="304" spans="1:20" ht="13" thickBot="1">
      <c r="A304" s="225"/>
      <c r="B304" s="226"/>
      <c r="C304" s="227" t="s">
        <v>113</v>
      </c>
      <c r="D304" s="226"/>
      <c r="E304" s="228"/>
      <c r="F304" s="229"/>
      <c r="G304" s="230">
        <f>SUBTOTAL(9,G197:G303)</f>
        <v>0</v>
      </c>
      <c r="H304" s="77"/>
      <c r="I304" s="77"/>
      <c r="J304" s="77"/>
      <c r="K304" s="77"/>
      <c r="L304" s="77"/>
      <c r="M304" s="77"/>
      <c r="N304" s="78"/>
      <c r="O304" s="794"/>
      <c r="P304" s="806"/>
      <c r="Q304" s="806"/>
      <c r="R304" s="808"/>
      <c r="S304" s="203"/>
      <c r="T304" s="203"/>
    </row>
    <row r="305" spans="1:20" ht="13" thickBot="1">
      <c r="A305" s="179"/>
      <c r="B305" s="180"/>
      <c r="C305" s="180"/>
      <c r="D305" s="180"/>
      <c r="E305" s="180"/>
      <c r="F305" s="180"/>
      <c r="G305" s="181"/>
      <c r="H305" s="77"/>
      <c r="I305" s="77"/>
      <c r="J305" s="77"/>
      <c r="K305" s="77"/>
      <c r="L305" s="77"/>
      <c r="M305" s="77"/>
      <c r="N305" s="78"/>
      <c r="R305" s="809"/>
      <c r="S305" s="79"/>
      <c r="T305" s="79"/>
    </row>
    <row r="306" spans="1:20" ht="13" thickBot="1">
      <c r="A306" s="182" t="s">
        <v>170</v>
      </c>
      <c r="B306" s="183"/>
      <c r="C306" s="184" t="s">
        <v>154</v>
      </c>
      <c r="D306" s="397"/>
      <c r="E306" s="398"/>
      <c r="F306" s="187"/>
      <c r="G306" s="399"/>
      <c r="R306" s="809"/>
      <c r="S306" s="79"/>
      <c r="T306" s="79"/>
    </row>
    <row r="307" spans="1:7" ht="12.75">
      <c r="A307" s="189"/>
      <c r="B307" s="400"/>
      <c r="C307" s="232"/>
      <c r="D307" s="233"/>
      <c r="E307" s="401"/>
      <c r="F307" s="402"/>
      <c r="G307" s="403"/>
    </row>
    <row r="308" spans="1:18" s="204" customFormat="1" ht="19.5" customHeight="1">
      <c r="A308" s="455"/>
      <c r="B308" s="477"/>
      <c r="C308" s="254" t="s">
        <v>1030</v>
      </c>
      <c r="D308" s="305"/>
      <c r="E308" s="439"/>
      <c r="F308" s="439"/>
      <c r="G308" s="478"/>
      <c r="H308" s="481"/>
      <c r="I308" s="481"/>
      <c r="J308" s="481"/>
      <c r="K308" s="481"/>
      <c r="L308" s="481"/>
      <c r="O308" s="794"/>
      <c r="P308" s="806"/>
      <c r="Q308" s="806"/>
      <c r="R308" s="820"/>
    </row>
    <row r="309" spans="1:18" s="204" customFormat="1" ht="20.25" customHeight="1">
      <c r="A309" s="455" t="s">
        <v>171</v>
      </c>
      <c r="B309" s="305">
        <v>642944121</v>
      </c>
      <c r="C309" s="306" t="s">
        <v>1740</v>
      </c>
      <c r="D309" s="305" t="s">
        <v>175</v>
      </c>
      <c r="E309" s="439">
        <v>12</v>
      </c>
      <c r="F309" s="439"/>
      <c r="G309" s="200">
        <f aca="true" t="shared" si="6" ref="G309:G316">E309*F309</f>
        <v>0</v>
      </c>
      <c r="H309" s="85">
        <v>0.04684</v>
      </c>
      <c r="I309" s="85">
        <f aca="true" t="shared" si="7" ref="I309:I316">E309*H309</f>
        <v>0.56208</v>
      </c>
      <c r="J309" s="201">
        <v>0</v>
      </c>
      <c r="K309" s="201">
        <f aca="true" t="shared" si="8" ref="K309:K316">E309*J309</f>
        <v>0</v>
      </c>
      <c r="L309" s="481"/>
      <c r="O309" s="794"/>
      <c r="P309" s="806"/>
      <c r="Q309" s="806"/>
      <c r="R309" s="820"/>
    </row>
    <row r="310" spans="1:18" s="204" customFormat="1" ht="28.5" customHeight="1">
      <c r="A310" s="455" t="s">
        <v>173</v>
      </c>
      <c r="B310" s="305">
        <v>642945111</v>
      </c>
      <c r="C310" s="306" t="s">
        <v>1738</v>
      </c>
      <c r="D310" s="305" t="s">
        <v>175</v>
      </c>
      <c r="E310" s="439">
        <v>1</v>
      </c>
      <c r="F310" s="439"/>
      <c r="G310" s="200">
        <f t="shared" si="6"/>
        <v>0</v>
      </c>
      <c r="H310" s="85">
        <v>0.4417</v>
      </c>
      <c r="I310" s="85">
        <f t="shared" si="7"/>
        <v>0.4417</v>
      </c>
      <c r="J310" s="201">
        <v>0</v>
      </c>
      <c r="K310" s="201">
        <f t="shared" si="8"/>
        <v>0</v>
      </c>
      <c r="L310" s="481"/>
      <c r="O310" s="794"/>
      <c r="P310" s="806"/>
      <c r="Q310" s="806"/>
      <c r="R310" s="820"/>
    </row>
    <row r="311" spans="1:18" s="204" customFormat="1" ht="20.25" customHeight="1">
      <c r="A311" s="455" t="s">
        <v>174</v>
      </c>
      <c r="B311" s="305" t="s">
        <v>1126</v>
      </c>
      <c r="C311" s="306" t="s">
        <v>1127</v>
      </c>
      <c r="D311" s="305" t="s">
        <v>1924</v>
      </c>
      <c r="E311" s="439">
        <v>12</v>
      </c>
      <c r="F311" s="439"/>
      <c r="G311" s="200">
        <f t="shared" si="6"/>
        <v>0</v>
      </c>
      <c r="H311" s="85">
        <v>0</v>
      </c>
      <c r="I311" s="85">
        <f t="shared" si="7"/>
        <v>0</v>
      </c>
      <c r="J311" s="201">
        <v>0</v>
      </c>
      <c r="K311" s="201">
        <f t="shared" si="8"/>
        <v>0</v>
      </c>
      <c r="L311" s="481"/>
      <c r="O311" s="794"/>
      <c r="P311" s="806"/>
      <c r="Q311" s="806"/>
      <c r="R311" s="820"/>
    </row>
    <row r="312" spans="1:18" s="204" customFormat="1" ht="20.25" customHeight="1">
      <c r="A312" s="455" t="s">
        <v>176</v>
      </c>
      <c r="B312" s="305">
        <v>767646510</v>
      </c>
      <c r="C312" s="306" t="s">
        <v>1092</v>
      </c>
      <c r="D312" s="305" t="s">
        <v>175</v>
      </c>
      <c r="E312" s="439">
        <v>1</v>
      </c>
      <c r="F312" s="439"/>
      <c r="G312" s="200">
        <f t="shared" si="6"/>
        <v>0</v>
      </c>
      <c r="H312" s="85">
        <v>0.00033</v>
      </c>
      <c r="I312" s="85">
        <f t="shared" si="7"/>
        <v>0.00033</v>
      </c>
      <c r="J312" s="201">
        <v>0</v>
      </c>
      <c r="K312" s="201">
        <f t="shared" si="8"/>
        <v>0</v>
      </c>
      <c r="L312" s="481"/>
      <c r="O312" s="794"/>
      <c r="P312" s="806"/>
      <c r="Q312" s="806"/>
      <c r="R312" s="820"/>
    </row>
    <row r="313" spans="1:18" s="204" customFormat="1" ht="27" customHeight="1">
      <c r="A313" s="455" t="s">
        <v>182</v>
      </c>
      <c r="B313" s="305">
        <v>766682122</v>
      </c>
      <c r="C313" s="306" t="s">
        <v>1820</v>
      </c>
      <c r="D313" s="778" t="s">
        <v>175</v>
      </c>
      <c r="E313" s="439">
        <v>1</v>
      </c>
      <c r="F313" s="439"/>
      <c r="G313" s="781">
        <f t="shared" si="6"/>
        <v>0</v>
      </c>
      <c r="H313" s="85">
        <v>0.00047</v>
      </c>
      <c r="I313" s="85">
        <f t="shared" si="7"/>
        <v>0.00047</v>
      </c>
      <c r="J313" s="201">
        <v>0</v>
      </c>
      <c r="K313" s="201">
        <f t="shared" si="8"/>
        <v>0</v>
      </c>
      <c r="L313" s="481"/>
      <c r="O313" s="794"/>
      <c r="P313" s="806"/>
      <c r="Q313" s="806"/>
      <c r="R313" s="820"/>
    </row>
    <row r="314" spans="1:18" s="204" customFormat="1" ht="35.25" customHeight="1">
      <c r="A314" s="455" t="s">
        <v>1856</v>
      </c>
      <c r="B314" s="305">
        <v>766660173</v>
      </c>
      <c r="C314" s="306" t="s">
        <v>1984</v>
      </c>
      <c r="D314" s="778" t="s">
        <v>175</v>
      </c>
      <c r="E314" s="439">
        <v>1</v>
      </c>
      <c r="F314" s="439"/>
      <c r="G314" s="781">
        <f t="shared" si="6"/>
        <v>0</v>
      </c>
      <c r="H314" s="85">
        <v>0</v>
      </c>
      <c r="I314" s="85">
        <f t="shared" si="7"/>
        <v>0</v>
      </c>
      <c r="J314" s="201">
        <v>0</v>
      </c>
      <c r="K314" s="201">
        <f t="shared" si="8"/>
        <v>0</v>
      </c>
      <c r="L314" s="481"/>
      <c r="O314" s="794"/>
      <c r="P314" s="806"/>
      <c r="Q314" s="806"/>
      <c r="R314" s="820"/>
    </row>
    <row r="315" spans="1:18" s="204" customFormat="1" ht="27" customHeight="1">
      <c r="A315" s="455" t="s">
        <v>1857</v>
      </c>
      <c r="B315" s="305">
        <v>766682113</v>
      </c>
      <c r="C315" s="306" t="s">
        <v>1833</v>
      </c>
      <c r="D315" s="778" t="s">
        <v>175</v>
      </c>
      <c r="E315" s="439">
        <v>2</v>
      </c>
      <c r="F315" s="439"/>
      <c r="G315" s="781">
        <f t="shared" si="6"/>
        <v>0</v>
      </c>
      <c r="H315" s="85">
        <v>0.00047</v>
      </c>
      <c r="I315" s="85">
        <f t="shared" si="7"/>
        <v>0.00094</v>
      </c>
      <c r="J315" s="201">
        <v>0</v>
      </c>
      <c r="K315" s="201">
        <f t="shared" si="8"/>
        <v>0</v>
      </c>
      <c r="L315" s="481"/>
      <c r="O315" s="794"/>
      <c r="P315" s="806"/>
      <c r="Q315" s="806"/>
      <c r="R315" s="820"/>
    </row>
    <row r="316" spans="1:18" s="204" customFormat="1" ht="35.25" customHeight="1">
      <c r="A316" s="455" t="s">
        <v>1858</v>
      </c>
      <c r="B316" s="305">
        <v>766660172</v>
      </c>
      <c r="C316" s="306" t="s">
        <v>1983</v>
      </c>
      <c r="D316" s="778" t="s">
        <v>175</v>
      </c>
      <c r="E316" s="439">
        <v>2</v>
      </c>
      <c r="F316" s="439"/>
      <c r="G316" s="781">
        <f t="shared" si="6"/>
        <v>0</v>
      </c>
      <c r="H316" s="85">
        <v>0</v>
      </c>
      <c r="I316" s="85">
        <f t="shared" si="7"/>
        <v>0</v>
      </c>
      <c r="J316" s="201">
        <v>0</v>
      </c>
      <c r="K316" s="201">
        <f t="shared" si="8"/>
        <v>0</v>
      </c>
      <c r="L316" s="481"/>
      <c r="O316" s="794"/>
      <c r="P316" s="806"/>
      <c r="Q316" s="806"/>
      <c r="R316" s="820"/>
    </row>
    <row r="317" spans="1:20" s="579" customFormat="1" ht="24" customHeight="1">
      <c r="A317" s="824"/>
      <c r="B317" s="825"/>
      <c r="C317" s="826" t="s">
        <v>1819</v>
      </c>
      <c r="D317" s="825"/>
      <c r="E317" s="827"/>
      <c r="F317" s="827"/>
      <c r="G317" s="828"/>
      <c r="H317" s="217"/>
      <c r="I317" s="217"/>
      <c r="J317" s="216"/>
      <c r="K317" s="216"/>
      <c r="L317" s="829"/>
      <c r="O317" s="794"/>
      <c r="P317" s="806"/>
      <c r="Q317" s="806"/>
      <c r="R317" s="820"/>
      <c r="S317" s="204"/>
      <c r="T317" s="204"/>
    </row>
    <row r="318" spans="1:20" s="204" customFormat="1" ht="156.75" customHeight="1">
      <c r="A318" s="455" t="s">
        <v>1859</v>
      </c>
      <c r="B318" s="433" t="s">
        <v>1817</v>
      </c>
      <c r="C318" s="306" t="s">
        <v>2431</v>
      </c>
      <c r="D318" s="305" t="s">
        <v>175</v>
      </c>
      <c r="E318" s="439">
        <v>8</v>
      </c>
      <c r="F318" s="296"/>
      <c r="G318" s="459">
        <f>E318*F318</f>
        <v>0</v>
      </c>
      <c r="H318" s="481"/>
      <c r="I318" s="481"/>
      <c r="J318" s="481"/>
      <c r="K318" s="481"/>
      <c r="L318" s="481"/>
      <c r="O318" s="830"/>
      <c r="P318" s="831"/>
      <c r="Q318" s="831"/>
      <c r="R318" s="832"/>
      <c r="S318" s="579"/>
      <c r="T318" s="579"/>
    </row>
    <row r="319" spans="1:18" s="204" customFormat="1" ht="153" customHeight="1">
      <c r="A319" s="455" t="s">
        <v>1666</v>
      </c>
      <c r="B319" s="433" t="s">
        <v>1816</v>
      </c>
      <c r="C319" s="306" t="s">
        <v>2424</v>
      </c>
      <c r="D319" s="305" t="s">
        <v>175</v>
      </c>
      <c r="E319" s="439">
        <v>2</v>
      </c>
      <c r="F319" s="296"/>
      <c r="G319" s="459">
        <f>E319*F319</f>
        <v>0</v>
      </c>
      <c r="H319" s="481"/>
      <c r="I319" s="481"/>
      <c r="J319" s="481"/>
      <c r="K319" s="481"/>
      <c r="L319" s="481"/>
      <c r="O319" s="794"/>
      <c r="P319" s="806"/>
      <c r="Q319" s="806"/>
      <c r="R319" s="820"/>
    </row>
    <row r="320" spans="1:18" s="204" customFormat="1" ht="153" customHeight="1">
      <c r="A320" s="455" t="s">
        <v>1860</v>
      </c>
      <c r="B320" s="433" t="s">
        <v>1809</v>
      </c>
      <c r="C320" s="306" t="s">
        <v>2424</v>
      </c>
      <c r="D320" s="305" t="s">
        <v>175</v>
      </c>
      <c r="E320" s="439">
        <v>1</v>
      </c>
      <c r="F320" s="296"/>
      <c r="G320" s="459">
        <f>E320*F320</f>
        <v>0</v>
      </c>
      <c r="H320" s="481"/>
      <c r="I320" s="481"/>
      <c r="J320" s="481"/>
      <c r="K320" s="481"/>
      <c r="L320" s="481"/>
      <c r="O320" s="794"/>
      <c r="P320" s="806"/>
      <c r="Q320" s="806"/>
      <c r="R320" s="820"/>
    </row>
    <row r="321" spans="1:18" s="204" customFormat="1" ht="163.5" customHeight="1">
      <c r="A321" s="455" t="s">
        <v>1861</v>
      </c>
      <c r="B321" s="433" t="s">
        <v>1818</v>
      </c>
      <c r="C321" s="306" t="s">
        <v>2425</v>
      </c>
      <c r="D321" s="305" t="s">
        <v>175</v>
      </c>
      <c r="E321" s="439">
        <v>1</v>
      </c>
      <c r="F321" s="296"/>
      <c r="G321" s="459">
        <f>E321*F321</f>
        <v>0</v>
      </c>
      <c r="H321" s="481"/>
      <c r="I321" s="481"/>
      <c r="J321" s="481"/>
      <c r="K321" s="481"/>
      <c r="L321" s="481"/>
      <c r="O321" s="794"/>
      <c r="P321" s="806"/>
      <c r="Q321" s="806"/>
      <c r="R321" s="820"/>
    </row>
    <row r="322" spans="1:18" s="204" customFormat="1" ht="121">
      <c r="A322" s="455" t="s">
        <v>1862</v>
      </c>
      <c r="B322" s="433" t="s">
        <v>1810</v>
      </c>
      <c r="C322" s="306" t="s">
        <v>2426</v>
      </c>
      <c r="D322" s="305" t="s">
        <v>175</v>
      </c>
      <c r="E322" s="439">
        <v>1</v>
      </c>
      <c r="F322" s="439"/>
      <c r="G322" s="459">
        <f aca="true" t="shared" si="9" ref="G322:G328">E322*F322</f>
        <v>0</v>
      </c>
      <c r="H322" s="481"/>
      <c r="I322" s="481"/>
      <c r="J322" s="481"/>
      <c r="K322" s="481"/>
      <c r="L322" s="481"/>
      <c r="O322" s="794"/>
      <c r="P322" s="806"/>
      <c r="Q322" s="806"/>
      <c r="R322" s="820"/>
    </row>
    <row r="323" spans="1:18" s="204" customFormat="1" ht="12.75">
      <c r="A323" s="455"/>
      <c r="B323" s="477"/>
      <c r="C323" s="306"/>
      <c r="D323" s="305"/>
      <c r="E323" s="439"/>
      <c r="F323" s="439"/>
      <c r="G323" s="478"/>
      <c r="H323" s="481"/>
      <c r="I323" s="481"/>
      <c r="J323" s="481"/>
      <c r="K323" s="481"/>
      <c r="L323" s="481"/>
      <c r="O323" s="794"/>
      <c r="P323" s="806"/>
      <c r="Q323" s="806"/>
      <c r="R323" s="820"/>
    </row>
    <row r="324" spans="1:18" s="204" customFormat="1" ht="165">
      <c r="A324" s="455" t="s">
        <v>1863</v>
      </c>
      <c r="B324" s="433" t="s">
        <v>1808</v>
      </c>
      <c r="C324" s="306" t="s">
        <v>1814</v>
      </c>
      <c r="D324" s="305" t="s">
        <v>175</v>
      </c>
      <c r="E324" s="439">
        <v>1</v>
      </c>
      <c r="F324" s="439"/>
      <c r="G324" s="459">
        <f t="shared" si="9"/>
        <v>0</v>
      </c>
      <c r="H324" s="481"/>
      <c r="I324" s="481"/>
      <c r="J324" s="481"/>
      <c r="K324" s="481"/>
      <c r="L324" s="481"/>
      <c r="O324" s="794"/>
      <c r="P324" s="806"/>
      <c r="Q324" s="806"/>
      <c r="R324" s="820"/>
    </row>
    <row r="325" spans="1:20" ht="12.75">
      <c r="A325" s="572"/>
      <c r="B325" s="477"/>
      <c r="C325" s="306"/>
      <c r="D325" s="489"/>
      <c r="E325" s="490"/>
      <c r="F325" s="439"/>
      <c r="G325" s="573"/>
      <c r="O325" s="793"/>
      <c r="P325" s="804"/>
      <c r="Q325" s="804"/>
      <c r="R325" s="815"/>
      <c r="S325" s="581"/>
      <c r="T325" s="581"/>
    </row>
    <row r="326" spans="1:18" s="204" customFormat="1" ht="127.5" customHeight="1">
      <c r="A326" s="455" t="s">
        <v>1864</v>
      </c>
      <c r="B326" s="433" t="s">
        <v>1813</v>
      </c>
      <c r="C326" s="306" t="s">
        <v>2427</v>
      </c>
      <c r="D326" s="305" t="s">
        <v>175</v>
      </c>
      <c r="E326" s="439">
        <v>1</v>
      </c>
      <c r="F326" s="439"/>
      <c r="G326" s="459">
        <f t="shared" si="9"/>
        <v>0</v>
      </c>
      <c r="H326" s="481"/>
      <c r="I326" s="481"/>
      <c r="J326" s="481"/>
      <c r="K326" s="481"/>
      <c r="L326" s="481"/>
      <c r="O326" s="794"/>
      <c r="P326" s="806"/>
      <c r="Q326" s="806"/>
      <c r="R326" s="820"/>
    </row>
    <row r="327" spans="1:18" s="204" customFormat="1" ht="162.75" customHeight="1">
      <c r="A327" s="455" t="s">
        <v>1865</v>
      </c>
      <c r="B327" s="433" t="s">
        <v>1811</v>
      </c>
      <c r="C327" s="306" t="s">
        <v>1815</v>
      </c>
      <c r="D327" s="305" t="s">
        <v>175</v>
      </c>
      <c r="E327" s="439">
        <v>1</v>
      </c>
      <c r="F327" s="439"/>
      <c r="G327" s="459">
        <f t="shared" si="9"/>
        <v>0</v>
      </c>
      <c r="H327" s="481"/>
      <c r="I327" s="481"/>
      <c r="J327" s="481"/>
      <c r="K327" s="481"/>
      <c r="L327" s="481"/>
      <c r="O327" s="794"/>
      <c r="P327" s="806"/>
      <c r="Q327" s="806"/>
      <c r="R327" s="820"/>
    </row>
    <row r="328" spans="1:18" s="204" customFormat="1" ht="162" customHeight="1">
      <c r="A328" s="455" t="s">
        <v>774</v>
      </c>
      <c r="B328" s="433" t="s">
        <v>1812</v>
      </c>
      <c r="C328" s="306" t="s">
        <v>2428</v>
      </c>
      <c r="D328" s="305" t="s">
        <v>175</v>
      </c>
      <c r="E328" s="439">
        <v>1</v>
      </c>
      <c r="F328" s="439"/>
      <c r="G328" s="459">
        <f t="shared" si="9"/>
        <v>0</v>
      </c>
      <c r="H328" s="481"/>
      <c r="I328" s="481"/>
      <c r="J328" s="481"/>
      <c r="K328" s="481"/>
      <c r="L328" s="481"/>
      <c r="O328" s="794"/>
      <c r="P328" s="806"/>
      <c r="Q328" s="806"/>
      <c r="R328" s="820"/>
    </row>
    <row r="329" spans="1:20" ht="12.75">
      <c r="A329" s="572"/>
      <c r="B329" s="477"/>
      <c r="C329" s="306"/>
      <c r="D329" s="489"/>
      <c r="E329" s="490"/>
      <c r="F329" s="439"/>
      <c r="G329" s="573"/>
      <c r="O329" s="793"/>
      <c r="P329" s="804"/>
      <c r="Q329" s="804"/>
      <c r="R329" s="815"/>
      <c r="S329" s="581"/>
      <c r="T329" s="581"/>
    </row>
    <row r="330" spans="1:20" s="267" customFormat="1" ht="19.5" customHeight="1">
      <c r="A330" s="262"/>
      <c r="B330" s="253"/>
      <c r="C330" s="254" t="s">
        <v>1743</v>
      </c>
      <c r="D330" s="253"/>
      <c r="E330" s="256"/>
      <c r="F330" s="256"/>
      <c r="G330" s="460"/>
      <c r="H330" s="264"/>
      <c r="I330" s="264"/>
      <c r="J330" s="264"/>
      <c r="K330" s="264"/>
      <c r="L330" s="264"/>
      <c r="M330" s="264"/>
      <c r="N330" s="265"/>
      <c r="O330" s="794"/>
      <c r="P330" s="806"/>
      <c r="Q330" s="806"/>
      <c r="R330" s="820"/>
      <c r="S330" s="204"/>
      <c r="T330" s="204"/>
    </row>
    <row r="331" spans="1:20" s="204" customFormat="1" ht="20.25" customHeight="1">
      <c r="A331" s="455" t="s">
        <v>1866</v>
      </c>
      <c r="B331" s="305">
        <v>642944121</v>
      </c>
      <c r="C331" s="306" t="s">
        <v>1740</v>
      </c>
      <c r="D331" s="305" t="s">
        <v>175</v>
      </c>
      <c r="E331" s="439">
        <v>2</v>
      </c>
      <c r="F331" s="439"/>
      <c r="G331" s="200">
        <f>E331*F331</f>
        <v>0</v>
      </c>
      <c r="H331" s="85">
        <v>0.04684</v>
      </c>
      <c r="I331" s="85">
        <f>E331*H331</f>
        <v>0.09368</v>
      </c>
      <c r="J331" s="201">
        <v>0</v>
      </c>
      <c r="K331" s="201">
        <f>E331*J331</f>
        <v>0</v>
      </c>
      <c r="L331" s="481"/>
      <c r="O331" s="794"/>
      <c r="P331" s="806"/>
      <c r="Q331" s="806"/>
      <c r="R331" s="833"/>
      <c r="S331" s="266"/>
      <c r="T331" s="266"/>
    </row>
    <row r="332" spans="1:18" s="204" customFormat="1" ht="28.5" customHeight="1">
      <c r="A332" s="455" t="s">
        <v>1867</v>
      </c>
      <c r="B332" s="305">
        <v>642945111</v>
      </c>
      <c r="C332" s="306" t="s">
        <v>1738</v>
      </c>
      <c r="D332" s="305" t="s">
        <v>175</v>
      </c>
      <c r="E332" s="439">
        <v>3</v>
      </c>
      <c r="F332" s="439"/>
      <c r="G332" s="200">
        <f>E332*F332</f>
        <v>0</v>
      </c>
      <c r="H332" s="85">
        <v>0.4417</v>
      </c>
      <c r="I332" s="85">
        <f>E332*H332</f>
        <v>1.3251</v>
      </c>
      <c r="J332" s="201">
        <v>0</v>
      </c>
      <c r="K332" s="201">
        <f>E332*J332</f>
        <v>0</v>
      </c>
      <c r="L332" s="481"/>
      <c r="O332" s="794"/>
      <c r="P332" s="806"/>
      <c r="Q332" s="806"/>
      <c r="R332" s="820"/>
    </row>
    <row r="333" spans="1:18" s="204" customFormat="1" ht="20.25" customHeight="1">
      <c r="A333" s="455" t="s">
        <v>1868</v>
      </c>
      <c r="B333" s="305" t="s">
        <v>1126</v>
      </c>
      <c r="C333" s="306" t="s">
        <v>1739</v>
      </c>
      <c r="D333" s="305" t="s">
        <v>175</v>
      </c>
      <c r="E333" s="439">
        <v>4</v>
      </c>
      <c r="F333" s="439"/>
      <c r="G333" s="200">
        <f>E333*F333</f>
        <v>0</v>
      </c>
      <c r="H333" s="85">
        <v>0</v>
      </c>
      <c r="I333" s="85">
        <f>E333*H333</f>
        <v>0</v>
      </c>
      <c r="J333" s="201">
        <v>0</v>
      </c>
      <c r="K333" s="201">
        <f>E333*J333</f>
        <v>0</v>
      </c>
      <c r="L333" s="481"/>
      <c r="O333" s="794"/>
      <c r="P333" s="806"/>
      <c r="Q333" s="806"/>
      <c r="R333" s="820"/>
    </row>
    <row r="334" spans="1:20" s="244" customFormat="1" ht="133.5" customHeight="1">
      <c r="A334" s="455" t="s">
        <v>1869</v>
      </c>
      <c r="B334" s="433" t="s">
        <v>1122</v>
      </c>
      <c r="C334" s="294" t="s">
        <v>1123</v>
      </c>
      <c r="D334" s="295" t="s">
        <v>158</v>
      </c>
      <c r="E334" s="239">
        <v>2</v>
      </c>
      <c r="F334" s="296"/>
      <c r="G334" s="240">
        <f>$E334*F334</f>
        <v>0</v>
      </c>
      <c r="H334" s="242"/>
      <c r="I334" s="241"/>
      <c r="L334" s="241"/>
      <c r="O334" s="794"/>
      <c r="P334" s="806"/>
      <c r="Q334" s="806"/>
      <c r="R334" s="820"/>
      <c r="S334" s="204"/>
      <c r="T334" s="204"/>
    </row>
    <row r="335" spans="1:18" s="244" customFormat="1" ht="133.5" customHeight="1">
      <c r="A335" s="455" t="s">
        <v>1870</v>
      </c>
      <c r="B335" s="433" t="s">
        <v>1124</v>
      </c>
      <c r="C335" s="294" t="s">
        <v>1125</v>
      </c>
      <c r="D335" s="295" t="s">
        <v>158</v>
      </c>
      <c r="E335" s="239">
        <v>2</v>
      </c>
      <c r="F335" s="296"/>
      <c r="G335" s="240">
        <f>$E335*F335</f>
        <v>0</v>
      </c>
      <c r="H335" s="242"/>
      <c r="I335" s="241"/>
      <c r="L335" s="241"/>
      <c r="O335" s="796"/>
      <c r="P335" s="811"/>
      <c r="Q335" s="811"/>
      <c r="R335" s="818"/>
    </row>
    <row r="336" spans="1:18" s="244" customFormat="1" ht="133.5" customHeight="1">
      <c r="A336" s="455" t="s">
        <v>1871</v>
      </c>
      <c r="B336" s="433" t="s">
        <v>1741</v>
      </c>
      <c r="C336" s="294" t="s">
        <v>1742</v>
      </c>
      <c r="D336" s="295" t="s">
        <v>158</v>
      </c>
      <c r="E336" s="239">
        <v>1</v>
      </c>
      <c r="F336" s="296"/>
      <c r="G336" s="240">
        <f>$E336*F336</f>
        <v>0</v>
      </c>
      <c r="H336" s="242"/>
      <c r="I336" s="241"/>
      <c r="L336" s="241"/>
      <c r="O336" s="796"/>
      <c r="P336" s="811"/>
      <c r="Q336" s="811"/>
      <c r="R336" s="818"/>
    </row>
    <row r="337" spans="1:20" ht="14" thickBot="1">
      <c r="A337" s="218"/>
      <c r="B337" s="412"/>
      <c r="C337" s="220"/>
      <c r="D337" s="221"/>
      <c r="E337" s="413"/>
      <c r="F337" s="414"/>
      <c r="G337" s="415"/>
      <c r="O337" s="797"/>
      <c r="P337" s="816"/>
      <c r="Q337" s="816"/>
      <c r="R337" s="817"/>
      <c r="S337" s="786"/>
      <c r="T337" s="786"/>
    </row>
    <row r="338" spans="1:7" ht="13" thickBot="1">
      <c r="A338" s="225"/>
      <c r="B338" s="226"/>
      <c r="C338" s="227" t="s">
        <v>113</v>
      </c>
      <c r="D338" s="226"/>
      <c r="E338" s="416"/>
      <c r="F338" s="417"/>
      <c r="G338" s="230">
        <f>SUBTOTAL(9,G307:G337)</f>
        <v>0</v>
      </c>
    </row>
    <row r="339" spans="1:7" ht="13" thickBot="1">
      <c r="A339" s="179"/>
      <c r="B339" s="180"/>
      <c r="C339" s="180"/>
      <c r="D339" s="180"/>
      <c r="E339" s="180"/>
      <c r="F339" s="180"/>
      <c r="G339" s="396"/>
    </row>
    <row r="340" spans="1:14" ht="13" thickBot="1">
      <c r="A340" s="182" t="s">
        <v>183</v>
      </c>
      <c r="B340" s="183"/>
      <c r="C340" s="184" t="s">
        <v>167</v>
      </c>
      <c r="D340" s="185"/>
      <c r="E340" s="186"/>
      <c r="F340" s="187"/>
      <c r="G340" s="188"/>
      <c r="H340" s="77"/>
      <c r="I340" s="77"/>
      <c r="J340" s="77"/>
      <c r="K340" s="77"/>
      <c r="L340" s="77"/>
      <c r="M340" s="77"/>
      <c r="N340" s="78"/>
    </row>
    <row r="341" spans="1:20" ht="12.75">
      <c r="A341" s="189"/>
      <c r="B341" s="231"/>
      <c r="C341" s="232"/>
      <c r="D341" s="233"/>
      <c r="E341" s="234"/>
      <c r="F341" s="235"/>
      <c r="G341" s="236"/>
      <c r="H341" s="77"/>
      <c r="I341" s="77"/>
      <c r="J341" s="77"/>
      <c r="K341" s="77"/>
      <c r="L341" s="77"/>
      <c r="M341" s="77"/>
      <c r="N341" s="78"/>
      <c r="O341" s="79"/>
      <c r="P341" s="79"/>
      <c r="Q341" s="79"/>
      <c r="R341" s="79"/>
      <c r="S341" s="79"/>
      <c r="T341" s="79"/>
    </row>
    <row r="342" spans="1:20" s="271" customFormat="1" ht="19.5" customHeight="1">
      <c r="A342" s="268" t="s">
        <v>185</v>
      </c>
      <c r="B342" s="674" t="s">
        <v>169</v>
      </c>
      <c r="C342" s="691" t="s">
        <v>1114</v>
      </c>
      <c r="D342" s="674" t="s">
        <v>73</v>
      </c>
      <c r="E342" s="669">
        <f>I342</f>
        <v>82.90958165205403</v>
      </c>
      <c r="F342" s="669"/>
      <c r="G342" s="200">
        <f>E342*F342</f>
        <v>0</v>
      </c>
      <c r="H342" s="85"/>
      <c r="I342" s="722">
        <f>SUM(I141:I322)</f>
        <v>82.90958165205403</v>
      </c>
      <c r="J342" s="85"/>
      <c r="K342" s="85"/>
      <c r="L342" s="85"/>
      <c r="M342" s="85"/>
      <c r="N342" s="202"/>
      <c r="O342" s="203"/>
      <c r="P342" s="203"/>
      <c r="Q342" s="203"/>
      <c r="R342" s="203"/>
      <c r="S342" s="203"/>
      <c r="T342" s="203"/>
    </row>
    <row r="343" spans="1:20" ht="14" thickBot="1">
      <c r="A343" s="218"/>
      <c r="B343" s="219"/>
      <c r="C343" s="220"/>
      <c r="D343" s="221"/>
      <c r="E343" s="222"/>
      <c r="F343" s="223"/>
      <c r="G343" s="224"/>
      <c r="H343" s="77"/>
      <c r="I343" s="77"/>
      <c r="J343" s="77"/>
      <c r="K343" s="77"/>
      <c r="L343" s="77"/>
      <c r="M343" s="77"/>
      <c r="N343" s="78"/>
      <c r="O343" s="580"/>
      <c r="P343" s="580"/>
      <c r="Q343" s="580"/>
      <c r="R343" s="580"/>
      <c r="S343" s="580"/>
      <c r="T343" s="580"/>
    </row>
    <row r="344" spans="1:20" ht="13" thickBot="1">
      <c r="A344" s="225"/>
      <c r="B344" s="226"/>
      <c r="C344" s="227" t="s">
        <v>113</v>
      </c>
      <c r="D344" s="226"/>
      <c r="E344" s="228"/>
      <c r="F344" s="229"/>
      <c r="G344" s="230">
        <f>SUBTOTAL(9,G341:G343)</f>
        <v>0</v>
      </c>
      <c r="H344" s="77"/>
      <c r="I344" s="77"/>
      <c r="J344" s="77"/>
      <c r="K344" s="77"/>
      <c r="L344" s="77"/>
      <c r="M344" s="77"/>
      <c r="N344" s="78"/>
      <c r="O344" s="79"/>
      <c r="P344" s="79"/>
      <c r="Q344" s="79"/>
      <c r="R344" s="79"/>
      <c r="S344" s="79"/>
      <c r="T344" s="79"/>
    </row>
    <row r="345" spans="1:20" ht="13" thickBot="1">
      <c r="A345" s="179"/>
      <c r="B345" s="180"/>
      <c r="C345" s="180"/>
      <c r="D345" s="180"/>
      <c r="E345" s="180"/>
      <c r="F345" s="180"/>
      <c r="G345" s="181"/>
      <c r="H345" s="77"/>
      <c r="I345" s="77"/>
      <c r="J345" s="77"/>
      <c r="K345" s="77"/>
      <c r="L345" s="77"/>
      <c r="M345" s="77"/>
      <c r="N345" s="78"/>
      <c r="O345" s="79"/>
      <c r="P345" s="79"/>
      <c r="Q345" s="79"/>
      <c r="R345" s="79"/>
      <c r="S345" s="79"/>
      <c r="T345" s="79"/>
    </row>
    <row r="346" spans="1:20" ht="13" thickBot="1">
      <c r="A346" s="182" t="s">
        <v>139</v>
      </c>
      <c r="B346" s="183"/>
      <c r="C346" s="184" t="s">
        <v>191</v>
      </c>
      <c r="D346" s="185"/>
      <c r="E346" s="186"/>
      <c r="F346" s="187"/>
      <c r="G346" s="188"/>
      <c r="H346" s="77"/>
      <c r="I346" s="77"/>
      <c r="J346" s="77"/>
      <c r="K346" s="77"/>
      <c r="L346" s="77"/>
      <c r="M346" s="77"/>
      <c r="N346" s="78"/>
      <c r="O346" s="79"/>
      <c r="P346" s="79"/>
      <c r="Q346" s="79"/>
      <c r="R346" s="79"/>
      <c r="S346" s="79"/>
      <c r="T346" s="79"/>
    </row>
    <row r="347" spans="1:20" ht="12.75">
      <c r="A347" s="189"/>
      <c r="B347" s="231"/>
      <c r="C347" s="232"/>
      <c r="D347" s="233"/>
      <c r="E347" s="234"/>
      <c r="F347" s="235"/>
      <c r="G347" s="236"/>
      <c r="H347" s="77"/>
      <c r="I347" s="77"/>
      <c r="J347" s="77"/>
      <c r="K347" s="77"/>
      <c r="L347" s="77"/>
      <c r="M347" s="77"/>
      <c r="N347" s="78"/>
      <c r="R347" s="809"/>
      <c r="S347" s="79"/>
      <c r="T347" s="79"/>
    </row>
    <row r="348" spans="1:18" s="204" customFormat="1" ht="19.5" customHeight="1">
      <c r="A348" s="455"/>
      <c r="B348" s="477"/>
      <c r="C348" s="254" t="s">
        <v>1030</v>
      </c>
      <c r="D348" s="305"/>
      <c r="E348" s="439"/>
      <c r="F348" s="439"/>
      <c r="G348" s="478"/>
      <c r="H348" s="481"/>
      <c r="I348" s="481"/>
      <c r="J348" s="481"/>
      <c r="K348" s="481"/>
      <c r="L348" s="481"/>
      <c r="O348" s="794"/>
      <c r="P348" s="806"/>
      <c r="Q348" s="806"/>
      <c r="R348" s="820"/>
    </row>
    <row r="349" spans="1:20" s="271" customFormat="1" ht="24" customHeight="1">
      <c r="A349" s="268" t="s">
        <v>192</v>
      </c>
      <c r="B349" s="674">
        <v>771591112</v>
      </c>
      <c r="C349" s="691" t="s">
        <v>1428</v>
      </c>
      <c r="D349" s="674" t="s">
        <v>46</v>
      </c>
      <c r="E349" s="669">
        <f>E350</f>
        <v>86.89999999999999</v>
      </c>
      <c r="F349" s="669"/>
      <c r="G349" s="670">
        <f>E349*F349</f>
        <v>0</v>
      </c>
      <c r="H349" s="85">
        <v>0.0015</v>
      </c>
      <c r="I349" s="201">
        <f>E349*H349</f>
        <v>0.13035</v>
      </c>
      <c r="J349" s="85">
        <v>0</v>
      </c>
      <c r="K349" s="85">
        <f>E349*J349</f>
        <v>0</v>
      </c>
      <c r="L349" s="85"/>
      <c r="M349" s="85"/>
      <c r="N349" s="202"/>
      <c r="O349" s="794"/>
      <c r="P349" s="806"/>
      <c r="Q349" s="806"/>
      <c r="R349" s="808"/>
      <c r="S349" s="203"/>
      <c r="T349" s="203"/>
    </row>
    <row r="350" spans="1:20" s="204" customFormat="1" ht="32.25" customHeight="1">
      <c r="A350" s="268" t="s">
        <v>193</v>
      </c>
      <c r="B350" s="305" t="s">
        <v>1117</v>
      </c>
      <c r="C350" s="306" t="s">
        <v>1118</v>
      </c>
      <c r="D350" s="305" t="s">
        <v>46</v>
      </c>
      <c r="E350" s="199">
        <f>SUM(D351)</f>
        <v>86.89999999999999</v>
      </c>
      <c r="F350" s="199"/>
      <c r="G350" s="670">
        <f>E350*F350</f>
        <v>0</v>
      </c>
      <c r="H350" s="85">
        <v>0.009</v>
      </c>
      <c r="I350" s="201">
        <f>E350*H350</f>
        <v>0.7820999999999999</v>
      </c>
      <c r="J350" s="85"/>
      <c r="K350" s="85"/>
      <c r="L350" s="85"/>
      <c r="M350" s="85"/>
      <c r="N350" s="202"/>
      <c r="O350" s="203"/>
      <c r="P350" s="203"/>
      <c r="Q350" s="203"/>
      <c r="R350" s="203"/>
      <c r="S350" s="203"/>
      <c r="T350" s="203"/>
    </row>
    <row r="351" spans="1:20" s="251" customFormat="1" ht="20.25" customHeight="1">
      <c r="A351" s="196"/>
      <c r="B351" s="205"/>
      <c r="C351" s="245" t="s">
        <v>1826</v>
      </c>
      <c r="D351" s="246">
        <f>(14.1+1+1.7+2.7+6.5+3.5+17.3+8.6+22.4+8.6+3.5-3)</f>
        <v>86.89999999999999</v>
      </c>
      <c r="E351" s="247"/>
      <c r="F351" s="247"/>
      <c r="G351" s="248"/>
      <c r="H351" s="249"/>
      <c r="I351" s="250"/>
      <c r="J351" s="250"/>
      <c r="K351" s="250"/>
      <c r="L351" s="250"/>
      <c r="O351" s="203"/>
      <c r="P351" s="203"/>
      <c r="Q351" s="203"/>
      <c r="R351" s="203"/>
      <c r="S351" s="203"/>
      <c r="T351" s="203"/>
    </row>
    <row r="352" spans="1:20" s="204" customFormat="1" ht="22.5" customHeight="1">
      <c r="A352" s="268" t="s">
        <v>194</v>
      </c>
      <c r="B352" s="305">
        <v>771474111</v>
      </c>
      <c r="C352" s="306" t="s">
        <v>2417</v>
      </c>
      <c r="D352" s="305" t="s">
        <v>309</v>
      </c>
      <c r="E352" s="199">
        <f>SUM(D353)</f>
        <v>67.4</v>
      </c>
      <c r="F352" s="199"/>
      <c r="G352" s="670">
        <f>E352*F352</f>
        <v>0</v>
      </c>
      <c r="H352" s="85">
        <v>0.0003</v>
      </c>
      <c r="I352" s="201">
        <f>E352*H352</f>
        <v>0.02022</v>
      </c>
      <c r="J352" s="85"/>
      <c r="K352" s="85"/>
      <c r="L352" s="85"/>
      <c r="M352" s="85"/>
      <c r="N352" s="202"/>
      <c r="O352" s="203"/>
      <c r="P352" s="203"/>
      <c r="Q352" s="203"/>
      <c r="R352" s="203"/>
      <c r="S352" s="203"/>
      <c r="T352" s="203"/>
    </row>
    <row r="353" spans="1:12" s="251" customFormat="1" ht="20.25" customHeight="1">
      <c r="A353" s="196"/>
      <c r="B353" s="205"/>
      <c r="C353" s="245" t="s">
        <v>2429</v>
      </c>
      <c r="D353" s="246">
        <f>16+6.5+5.2+14.5+19.5+5.7</f>
        <v>67.4</v>
      </c>
      <c r="E353" s="247"/>
      <c r="F353" s="247"/>
      <c r="G353" s="248"/>
      <c r="H353" s="249"/>
      <c r="I353" s="250"/>
      <c r="J353" s="250"/>
      <c r="K353" s="250"/>
      <c r="L353" s="250"/>
    </row>
    <row r="354" spans="1:20" s="204" customFormat="1" ht="29.25" customHeight="1">
      <c r="A354" s="268" t="s">
        <v>195</v>
      </c>
      <c r="B354" s="197" t="s">
        <v>1119</v>
      </c>
      <c r="C354" s="136" t="s">
        <v>1497</v>
      </c>
      <c r="D354" s="198" t="s">
        <v>46</v>
      </c>
      <c r="E354" s="199">
        <f>1.15*E350+E352*0.065*1.25-0.01</f>
        <v>105.40124999999999</v>
      </c>
      <c r="F354" s="199"/>
      <c r="G354" s="200">
        <f>E354*F354</f>
        <v>0</v>
      </c>
      <c r="H354" s="201">
        <v>0.02415</v>
      </c>
      <c r="I354" s="201">
        <f>E354*H354</f>
        <v>2.5454401875</v>
      </c>
      <c r="J354" s="85">
        <v>0</v>
      </c>
      <c r="K354" s="85">
        <f>E354*J354</f>
        <v>0</v>
      </c>
      <c r="L354" s="85"/>
      <c r="M354" s="85"/>
      <c r="N354" s="202"/>
      <c r="O354" s="251"/>
      <c r="P354" s="251"/>
      <c r="Q354" s="251"/>
      <c r="R354" s="251"/>
      <c r="S354" s="251"/>
      <c r="T354" s="251"/>
    </row>
    <row r="355" spans="1:20" s="204" customFormat="1" ht="24" customHeight="1">
      <c r="A355" s="268" t="s">
        <v>289</v>
      </c>
      <c r="B355" s="197" t="s">
        <v>196</v>
      </c>
      <c r="C355" s="136" t="s">
        <v>335</v>
      </c>
      <c r="D355" s="198" t="s">
        <v>73</v>
      </c>
      <c r="E355" s="199">
        <f>I355</f>
        <v>3.4781101875</v>
      </c>
      <c r="F355" s="199"/>
      <c r="G355" s="200">
        <f>E355*F355</f>
        <v>0</v>
      </c>
      <c r="H355" s="201"/>
      <c r="I355" s="216">
        <f>SUM(I347:I354)</f>
        <v>3.4781101875</v>
      </c>
      <c r="J355" s="85"/>
      <c r="K355" s="85">
        <f>E355*J355</f>
        <v>0</v>
      </c>
      <c r="L355" s="85"/>
      <c r="M355" s="85"/>
      <c r="N355" s="202"/>
      <c r="O355" s="203"/>
      <c r="P355" s="203"/>
      <c r="Q355" s="203"/>
      <c r="R355" s="203"/>
      <c r="S355" s="203"/>
      <c r="T355" s="203"/>
    </row>
    <row r="356" spans="1:20" s="204" customFormat="1" ht="13.5" customHeight="1">
      <c r="A356" s="268"/>
      <c r="B356" s="305"/>
      <c r="C356" s="787"/>
      <c r="D356" s="788"/>
      <c r="E356" s="789"/>
      <c r="F356" s="789"/>
      <c r="G356" s="459"/>
      <c r="H356" s="201"/>
      <c r="I356" s="216"/>
      <c r="J356" s="85"/>
      <c r="K356" s="85"/>
      <c r="L356" s="85"/>
      <c r="M356" s="85"/>
      <c r="N356" s="202"/>
      <c r="O356" s="203"/>
      <c r="P356" s="203"/>
      <c r="Q356" s="203"/>
      <c r="R356" s="203"/>
      <c r="S356" s="203"/>
      <c r="T356" s="203"/>
    </row>
    <row r="357" spans="1:20" s="267" customFormat="1" ht="12.75">
      <c r="A357" s="262"/>
      <c r="B357" s="253"/>
      <c r="C357" s="254" t="s">
        <v>1354</v>
      </c>
      <c r="D357" s="253"/>
      <c r="E357" s="256"/>
      <c r="F357" s="256"/>
      <c r="G357" s="460"/>
      <c r="H357" s="264"/>
      <c r="I357" s="264"/>
      <c r="J357" s="264"/>
      <c r="K357" s="264"/>
      <c r="L357" s="264"/>
      <c r="M357" s="264"/>
      <c r="N357" s="265"/>
      <c r="O357" s="203"/>
      <c r="P357" s="203"/>
      <c r="Q357" s="203"/>
      <c r="R357" s="203"/>
      <c r="S357" s="203"/>
      <c r="T357" s="203"/>
    </row>
    <row r="358" spans="1:20" s="271" customFormat="1" ht="24" customHeight="1">
      <c r="A358" s="268" t="s">
        <v>290</v>
      </c>
      <c r="B358" s="674">
        <v>771591112</v>
      </c>
      <c r="C358" s="691" t="s">
        <v>1428</v>
      </c>
      <c r="D358" s="674" t="s">
        <v>46</v>
      </c>
      <c r="E358" s="669">
        <f>E359</f>
        <v>17.6</v>
      </c>
      <c r="F358" s="669"/>
      <c r="G358" s="670">
        <f>E358*F358</f>
        <v>0</v>
      </c>
      <c r="H358" s="85">
        <v>0.0015</v>
      </c>
      <c r="I358" s="201">
        <f>E358*H358</f>
        <v>0.026400000000000003</v>
      </c>
      <c r="J358" s="85">
        <v>0</v>
      </c>
      <c r="K358" s="85">
        <f>E358*J358</f>
        <v>0</v>
      </c>
      <c r="L358" s="85"/>
      <c r="M358" s="85"/>
      <c r="N358" s="202"/>
      <c r="O358" s="794"/>
      <c r="P358" s="806"/>
      <c r="Q358" s="806"/>
      <c r="R358" s="833"/>
      <c r="S358" s="266"/>
      <c r="T358" s="266"/>
    </row>
    <row r="359" spans="1:20" s="204" customFormat="1" ht="33.75" customHeight="1">
      <c r="A359" s="268" t="s">
        <v>336</v>
      </c>
      <c r="B359" s="305" t="s">
        <v>1117</v>
      </c>
      <c r="C359" s="306" t="s">
        <v>1118</v>
      </c>
      <c r="D359" s="305" t="s">
        <v>46</v>
      </c>
      <c r="E359" s="199">
        <v>17.6</v>
      </c>
      <c r="F359" s="199"/>
      <c r="G359" s="200">
        <f>E359*F359</f>
        <v>0</v>
      </c>
      <c r="H359" s="85">
        <v>0.009</v>
      </c>
      <c r="I359" s="85">
        <f>E359*H359</f>
        <v>0.1584</v>
      </c>
      <c r="J359" s="85"/>
      <c r="K359" s="85"/>
      <c r="L359" s="85"/>
      <c r="M359" s="85"/>
      <c r="N359" s="202"/>
      <c r="O359" s="203"/>
      <c r="P359" s="203"/>
      <c r="Q359" s="203"/>
      <c r="R359" s="203"/>
      <c r="S359" s="203"/>
      <c r="T359" s="203"/>
    </row>
    <row r="360" spans="1:20" s="204" customFormat="1" ht="22.5" customHeight="1">
      <c r="A360" s="268" t="s">
        <v>337</v>
      </c>
      <c r="B360" s="305">
        <v>771474111</v>
      </c>
      <c r="C360" s="306" t="s">
        <v>2417</v>
      </c>
      <c r="D360" s="305" t="s">
        <v>309</v>
      </c>
      <c r="E360" s="199">
        <v>29.2</v>
      </c>
      <c r="F360" s="199"/>
      <c r="G360" s="670">
        <f>E360*F360</f>
        <v>0</v>
      </c>
      <c r="H360" s="85">
        <v>0.0003</v>
      </c>
      <c r="I360" s="201">
        <f>E360*H360</f>
        <v>0.008759999999999999</v>
      </c>
      <c r="J360" s="85"/>
      <c r="K360" s="85"/>
      <c r="L360" s="85"/>
      <c r="M360" s="85"/>
      <c r="N360" s="202"/>
      <c r="O360" s="203"/>
      <c r="P360" s="203"/>
      <c r="Q360" s="203"/>
      <c r="R360" s="203"/>
      <c r="S360" s="203"/>
      <c r="T360" s="203"/>
    </row>
    <row r="361" spans="1:20" s="204" customFormat="1" ht="24.75" customHeight="1">
      <c r="A361" s="268" t="s">
        <v>343</v>
      </c>
      <c r="B361" s="305" t="s">
        <v>1119</v>
      </c>
      <c r="C361" s="306" t="s">
        <v>1733</v>
      </c>
      <c r="D361" s="305" t="s">
        <v>46</v>
      </c>
      <c r="E361" s="199">
        <f>E359*1.15+E360*0.065*1.25-0.01</f>
        <v>22.602499999999996</v>
      </c>
      <c r="F361" s="199"/>
      <c r="G361" s="200">
        <f>E361*F361</f>
        <v>0</v>
      </c>
      <c r="H361" s="85">
        <v>0.024</v>
      </c>
      <c r="I361" s="85">
        <f>E361*H361</f>
        <v>0.5424599999999999</v>
      </c>
      <c r="J361" s="85"/>
      <c r="K361" s="85"/>
      <c r="L361" s="85"/>
      <c r="M361" s="85"/>
      <c r="N361" s="202"/>
      <c r="O361" s="794"/>
      <c r="P361" s="806"/>
      <c r="Q361" s="806"/>
      <c r="R361" s="808"/>
      <c r="S361" s="203"/>
      <c r="T361" s="203"/>
    </row>
    <row r="362" spans="1:20" s="204" customFormat="1" ht="26.25" customHeight="1">
      <c r="A362" s="268" t="s">
        <v>541</v>
      </c>
      <c r="B362" s="197" t="s">
        <v>196</v>
      </c>
      <c r="C362" s="136" t="s">
        <v>1128</v>
      </c>
      <c r="D362" s="198" t="s">
        <v>73</v>
      </c>
      <c r="E362" s="199">
        <f>I362</f>
        <v>0.7360199999999999</v>
      </c>
      <c r="F362" s="199"/>
      <c r="G362" s="200">
        <f>E362*F362</f>
        <v>0</v>
      </c>
      <c r="H362" s="85"/>
      <c r="I362" s="217">
        <f>SUM(I358:I361)</f>
        <v>0.7360199999999999</v>
      </c>
      <c r="J362" s="201"/>
      <c r="K362" s="216"/>
      <c r="L362" s="85"/>
      <c r="M362" s="85"/>
      <c r="N362" s="202"/>
      <c r="O362" s="794"/>
      <c r="P362" s="806"/>
      <c r="Q362" s="806"/>
      <c r="R362" s="808"/>
      <c r="S362" s="203"/>
      <c r="T362" s="203"/>
    </row>
    <row r="363" spans="1:20" ht="14" thickBot="1">
      <c r="A363" s="218"/>
      <c r="B363" s="219"/>
      <c r="C363" s="220"/>
      <c r="D363" s="221"/>
      <c r="E363" s="222"/>
      <c r="F363" s="223"/>
      <c r="G363" s="224"/>
      <c r="H363" s="77"/>
      <c r="I363" s="77"/>
      <c r="J363" s="77"/>
      <c r="K363" s="77"/>
      <c r="L363" s="77"/>
      <c r="M363" s="77"/>
      <c r="N363" s="78"/>
      <c r="O363" s="793"/>
      <c r="P363" s="804"/>
      <c r="Q363" s="804"/>
      <c r="R363" s="805"/>
      <c r="S363" s="580"/>
      <c r="T363" s="580"/>
    </row>
    <row r="364" spans="1:20" ht="18" customHeight="1" thickBot="1">
      <c r="A364" s="225"/>
      <c r="B364" s="226"/>
      <c r="C364" s="227" t="s">
        <v>113</v>
      </c>
      <c r="D364" s="226"/>
      <c r="E364" s="228"/>
      <c r="F364" s="229"/>
      <c r="G364" s="230">
        <f>SUBTOTAL(9,G347:G363)</f>
        <v>0</v>
      </c>
      <c r="H364" s="77"/>
      <c r="I364" s="77"/>
      <c r="J364" s="77"/>
      <c r="K364" s="77"/>
      <c r="L364" s="77"/>
      <c r="M364" s="77"/>
      <c r="N364" s="78"/>
      <c r="R364" s="809"/>
      <c r="S364" s="79"/>
      <c r="T364" s="79"/>
    </row>
    <row r="365" spans="1:20" ht="13" thickBot="1">
      <c r="A365" s="179"/>
      <c r="B365" s="180"/>
      <c r="C365" s="180"/>
      <c r="D365" s="180"/>
      <c r="E365" s="180"/>
      <c r="F365" s="180"/>
      <c r="G365" s="181"/>
      <c r="H365" s="77"/>
      <c r="I365" s="77"/>
      <c r="J365" s="77"/>
      <c r="K365" s="77"/>
      <c r="L365" s="77"/>
      <c r="M365" s="77"/>
      <c r="N365" s="78"/>
      <c r="R365" s="809"/>
      <c r="S365" s="79"/>
      <c r="T365" s="79"/>
    </row>
    <row r="366" spans="1:12" s="328" customFormat="1" ht="18.75" customHeight="1" thickBot="1">
      <c r="A366" s="182" t="s">
        <v>197</v>
      </c>
      <c r="B366" s="183">
        <v>776</v>
      </c>
      <c r="C366" s="184" t="s">
        <v>334</v>
      </c>
      <c r="D366" s="397"/>
      <c r="E366" s="398"/>
      <c r="F366" s="187"/>
      <c r="G366" s="399"/>
      <c r="H366" s="327"/>
      <c r="I366" s="327"/>
      <c r="J366" s="327"/>
      <c r="K366" s="327"/>
      <c r="L366" s="327"/>
    </row>
    <row r="367" spans="1:12" s="328" customFormat="1" ht="12.75">
      <c r="A367" s="189"/>
      <c r="B367" s="400"/>
      <c r="C367" s="232"/>
      <c r="D367" s="233"/>
      <c r="E367" s="401"/>
      <c r="F367" s="402"/>
      <c r="G367" s="403"/>
      <c r="H367" s="327"/>
      <c r="I367" s="327"/>
      <c r="J367" s="327"/>
      <c r="K367" s="327"/>
      <c r="L367" s="327"/>
    </row>
    <row r="368" spans="1:18" s="204" customFormat="1" ht="19.5" customHeight="1">
      <c r="A368" s="455"/>
      <c r="B368" s="477"/>
      <c r="C368" s="254" t="s">
        <v>1030</v>
      </c>
      <c r="D368" s="305"/>
      <c r="E368" s="439"/>
      <c r="F368" s="439"/>
      <c r="G368" s="478"/>
      <c r="H368" s="481"/>
      <c r="I368" s="481"/>
      <c r="J368" s="481"/>
      <c r="K368" s="481"/>
      <c r="L368" s="481"/>
      <c r="O368" s="794"/>
      <c r="P368" s="806"/>
      <c r="Q368" s="806"/>
      <c r="R368" s="820"/>
    </row>
    <row r="369" spans="1:12" s="244" customFormat="1" ht="21.75" customHeight="1">
      <c r="A369" s="196" t="s">
        <v>198</v>
      </c>
      <c r="B369" s="305" t="s">
        <v>1630</v>
      </c>
      <c r="C369" s="306" t="s">
        <v>1631</v>
      </c>
      <c r="D369" s="305" t="s">
        <v>46</v>
      </c>
      <c r="E369" s="239">
        <v>3</v>
      </c>
      <c r="F369" s="439"/>
      <c r="G369" s="240">
        <f>$E369*F369</f>
        <v>0</v>
      </c>
      <c r="H369" s="241">
        <v>0.0002</v>
      </c>
      <c r="I369" s="241">
        <f>E369*H369</f>
        <v>0.0006000000000000001</v>
      </c>
      <c r="J369" s="243">
        <v>0</v>
      </c>
      <c r="K369" s="243">
        <f>E369*J369</f>
        <v>0</v>
      </c>
      <c r="L369" s="241"/>
    </row>
    <row r="370" spans="1:12" s="244" customFormat="1" ht="19.5" customHeight="1">
      <c r="A370" s="196" t="s">
        <v>199</v>
      </c>
      <c r="B370" s="197" t="s">
        <v>1634</v>
      </c>
      <c r="C370" s="294" t="s">
        <v>1635</v>
      </c>
      <c r="D370" s="295" t="s">
        <v>46</v>
      </c>
      <c r="E370" s="297">
        <f>E369</f>
        <v>3</v>
      </c>
      <c r="F370" s="296"/>
      <c r="G370" s="240">
        <f>$E370*F370</f>
        <v>0</v>
      </c>
      <c r="H370" s="241">
        <v>0.00455</v>
      </c>
      <c r="I370" s="241">
        <f>E370*H370</f>
        <v>0.01365</v>
      </c>
      <c r="J370" s="241">
        <v>0</v>
      </c>
      <c r="K370" s="241">
        <f>E370*J370</f>
        <v>0</v>
      </c>
      <c r="L370" s="241"/>
    </row>
    <row r="371" spans="1:12" s="244" customFormat="1" ht="18" customHeight="1">
      <c r="A371" s="196" t="s">
        <v>201</v>
      </c>
      <c r="B371" s="305" t="s">
        <v>1632</v>
      </c>
      <c r="C371" s="306" t="s">
        <v>1633</v>
      </c>
      <c r="D371" s="305" t="s">
        <v>46</v>
      </c>
      <c r="E371" s="239">
        <f>E369</f>
        <v>3</v>
      </c>
      <c r="F371" s="439"/>
      <c r="G371" s="240">
        <f>$E371*F371</f>
        <v>0</v>
      </c>
      <c r="H371" s="241">
        <v>0.00315</v>
      </c>
      <c r="I371" s="241">
        <f>E371*H371</f>
        <v>0.00945</v>
      </c>
      <c r="J371" s="241">
        <v>0</v>
      </c>
      <c r="K371" s="241">
        <f>E371*J371</f>
        <v>0</v>
      </c>
      <c r="L371" s="241"/>
    </row>
    <row r="372" spans="1:12" s="251" customFormat="1" ht="15" customHeight="1">
      <c r="A372" s="432"/>
      <c r="B372" s="205"/>
      <c r="C372" s="245"/>
      <c r="D372" s="246"/>
      <c r="E372" s="247"/>
      <c r="F372" s="247"/>
      <c r="G372" s="240"/>
      <c r="H372" s="249"/>
      <c r="I372" s="250"/>
      <c r="J372" s="250"/>
      <c r="K372" s="250"/>
      <c r="L372" s="250"/>
    </row>
    <row r="373" spans="1:12" s="244" customFormat="1" ht="26.25" customHeight="1">
      <c r="A373" s="196" t="s">
        <v>202</v>
      </c>
      <c r="B373" s="197" t="s">
        <v>1639</v>
      </c>
      <c r="C373" s="294" t="s">
        <v>1638</v>
      </c>
      <c r="D373" s="295" t="s">
        <v>46</v>
      </c>
      <c r="E373" s="296">
        <f>E369</f>
        <v>3</v>
      </c>
      <c r="F373" s="749"/>
      <c r="G373" s="240">
        <f>$E373*F373</f>
        <v>0</v>
      </c>
      <c r="H373" s="241">
        <v>0.0072</v>
      </c>
      <c r="I373" s="241">
        <f>E373*H373</f>
        <v>0.0216</v>
      </c>
      <c r="J373" s="243">
        <v>0</v>
      </c>
      <c r="K373" s="243">
        <f>E373*J373</f>
        <v>0</v>
      </c>
      <c r="L373" s="241"/>
    </row>
    <row r="374" spans="1:12" s="244" customFormat="1" ht="21.75" customHeight="1">
      <c r="A374" s="196" t="s">
        <v>203</v>
      </c>
      <c r="B374" s="197" t="s">
        <v>1636</v>
      </c>
      <c r="C374" s="294" t="s">
        <v>1637</v>
      </c>
      <c r="D374" s="295" t="s">
        <v>73</v>
      </c>
      <c r="E374" s="297">
        <f>I374</f>
        <v>0.0453</v>
      </c>
      <c r="F374" s="296"/>
      <c r="G374" s="240">
        <f>$E374*F374</f>
        <v>0</v>
      </c>
      <c r="H374" s="241"/>
      <c r="I374" s="438">
        <f>SUM(I369:I373)</f>
        <v>0.0453</v>
      </c>
      <c r="J374" s="241"/>
      <c r="K374" s="438">
        <f>SUM(K370:K373)</f>
        <v>0</v>
      </c>
      <c r="L374" s="241"/>
    </row>
    <row r="375" spans="1:12" s="328" customFormat="1" ht="14" thickBot="1">
      <c r="A375" s="218"/>
      <c r="B375" s="412"/>
      <c r="C375" s="220"/>
      <c r="D375" s="221"/>
      <c r="E375" s="413"/>
      <c r="F375" s="414"/>
      <c r="G375" s="415"/>
      <c r="H375" s="327"/>
      <c r="I375" s="327"/>
      <c r="J375" s="327"/>
      <c r="K375" s="327"/>
      <c r="L375" s="327"/>
    </row>
    <row r="376" spans="1:12" s="328" customFormat="1" ht="17.25" customHeight="1" thickBot="1">
      <c r="A376" s="225"/>
      <c r="B376" s="226"/>
      <c r="C376" s="227" t="s">
        <v>113</v>
      </c>
      <c r="D376" s="226"/>
      <c r="E376" s="416"/>
      <c r="F376" s="417"/>
      <c r="G376" s="230">
        <f>SUBTOTAL(9,G367:G375)</f>
        <v>0</v>
      </c>
      <c r="H376" s="327"/>
      <c r="I376" s="327"/>
      <c r="J376" s="327"/>
      <c r="K376" s="327"/>
      <c r="L376" s="327"/>
    </row>
    <row r="377" spans="1:12" s="328" customFormat="1" ht="13" thickBot="1">
      <c r="A377" s="179"/>
      <c r="B377" s="180"/>
      <c r="C377" s="180"/>
      <c r="D377" s="180"/>
      <c r="E377" s="180"/>
      <c r="F377" s="180"/>
      <c r="G377" s="396"/>
      <c r="H377" s="327"/>
      <c r="I377" s="327"/>
      <c r="J377" s="327"/>
      <c r="K377" s="327"/>
      <c r="L377" s="327"/>
    </row>
    <row r="378" spans="1:20" ht="17.25" customHeight="1" thickBot="1">
      <c r="A378" s="182" t="s">
        <v>228</v>
      </c>
      <c r="B378" s="183"/>
      <c r="C378" s="184" t="s">
        <v>1259</v>
      </c>
      <c r="D378" s="185"/>
      <c r="E378" s="186"/>
      <c r="F378" s="187"/>
      <c r="G378" s="188"/>
      <c r="H378" s="77"/>
      <c r="I378" s="77"/>
      <c r="J378" s="77"/>
      <c r="K378" s="77"/>
      <c r="L378" s="77"/>
      <c r="M378" s="77"/>
      <c r="N378" s="78"/>
      <c r="R378" s="809"/>
      <c r="S378" s="79"/>
      <c r="T378" s="79"/>
    </row>
    <row r="379" spans="1:20" ht="12.75">
      <c r="A379" s="189"/>
      <c r="B379" s="231"/>
      <c r="C379" s="232"/>
      <c r="D379" s="233"/>
      <c r="E379" s="234"/>
      <c r="F379" s="235"/>
      <c r="G379" s="236"/>
      <c r="H379" s="77"/>
      <c r="I379" s="77"/>
      <c r="J379" s="77"/>
      <c r="K379" s="77"/>
      <c r="L379" s="77"/>
      <c r="M379" s="77"/>
      <c r="N379" s="78"/>
      <c r="R379" s="809"/>
      <c r="S379" s="79"/>
      <c r="T379" s="79"/>
    </row>
    <row r="380" spans="1:20" s="204" customFormat="1" ht="12.75">
      <c r="A380" s="455"/>
      <c r="B380" s="305"/>
      <c r="C380" s="254" t="s">
        <v>1030</v>
      </c>
      <c r="D380" s="305"/>
      <c r="E380" s="586"/>
      <c r="F380" s="586"/>
      <c r="G380" s="756"/>
      <c r="H380" s="85"/>
      <c r="I380" s="85"/>
      <c r="J380" s="85"/>
      <c r="K380" s="85"/>
      <c r="L380" s="85"/>
      <c r="M380" s="85"/>
      <c r="N380" s="202"/>
      <c r="O380" s="794"/>
      <c r="P380" s="806"/>
      <c r="Q380" s="806"/>
      <c r="R380" s="808"/>
      <c r="S380" s="203"/>
      <c r="T380" s="203"/>
    </row>
    <row r="381" spans="1:20" s="204" customFormat="1" ht="18.75" customHeight="1">
      <c r="A381" s="455" t="s">
        <v>230</v>
      </c>
      <c r="B381" s="305" t="s">
        <v>200</v>
      </c>
      <c r="C381" s="306" t="s">
        <v>1429</v>
      </c>
      <c r="D381" s="305" t="s">
        <v>46</v>
      </c>
      <c r="E381" s="199">
        <f>E382</f>
        <v>101.3</v>
      </c>
      <c r="F381" s="199"/>
      <c r="G381" s="200">
        <f>E381*F381</f>
        <v>0</v>
      </c>
      <c r="H381" s="85">
        <v>0.0015</v>
      </c>
      <c r="I381" s="201">
        <f>E381*H381</f>
        <v>0.15195</v>
      </c>
      <c r="J381" s="85">
        <v>0</v>
      </c>
      <c r="K381" s="85">
        <f>E381*J381</f>
        <v>0</v>
      </c>
      <c r="L381" s="85"/>
      <c r="M381" s="85"/>
      <c r="N381" s="202"/>
      <c r="O381" s="794"/>
      <c r="P381" s="806"/>
      <c r="Q381" s="806"/>
      <c r="R381" s="808"/>
      <c r="S381" s="203"/>
      <c r="T381" s="203"/>
    </row>
    <row r="382" spans="1:20" s="204" customFormat="1" ht="34.5" customHeight="1">
      <c r="A382" s="455" t="s">
        <v>232</v>
      </c>
      <c r="B382" s="305" t="s">
        <v>1430</v>
      </c>
      <c r="C382" s="306" t="s">
        <v>1431</v>
      </c>
      <c r="D382" s="305" t="s">
        <v>46</v>
      </c>
      <c r="E382" s="199">
        <f>SUM(D383:D383)</f>
        <v>101.3</v>
      </c>
      <c r="F382" s="199"/>
      <c r="G382" s="200">
        <f>E382*F382</f>
        <v>0</v>
      </c>
      <c r="H382" s="85">
        <v>0.009</v>
      </c>
      <c r="I382" s="201">
        <f>E382*H382</f>
        <v>0.9117</v>
      </c>
      <c r="J382" s="85">
        <v>0</v>
      </c>
      <c r="K382" s="85">
        <f>E382*J382</f>
        <v>0</v>
      </c>
      <c r="L382" s="85"/>
      <c r="M382" s="85"/>
      <c r="N382" s="202"/>
      <c r="O382" s="794"/>
      <c r="P382" s="806"/>
      <c r="Q382" s="806"/>
      <c r="R382" s="808"/>
      <c r="S382" s="203"/>
      <c r="T382" s="203"/>
    </row>
    <row r="383" spans="1:20" s="595" customFormat="1" ht="21.75" customHeight="1">
      <c r="A383" s="683"/>
      <c r="B383" s="686" t="s">
        <v>1785</v>
      </c>
      <c r="C383" s="687" t="s">
        <v>1822</v>
      </c>
      <c r="D383" s="685">
        <f>(3.2+4.8+13.91+6.4+13.14)*2.4+1.77+0.05</f>
        <v>101.3</v>
      </c>
      <c r="E383" s="688"/>
      <c r="F383" s="688"/>
      <c r="G383" s="689"/>
      <c r="H383" s="593"/>
      <c r="I383" s="593"/>
      <c r="J383" s="593"/>
      <c r="K383" s="593"/>
      <c r="L383" s="593"/>
      <c r="M383" s="593"/>
      <c r="N383" s="594"/>
      <c r="O383" s="794"/>
      <c r="P383" s="806"/>
      <c r="Q383" s="806"/>
      <c r="R383" s="808"/>
      <c r="S383" s="203"/>
      <c r="T383" s="203"/>
    </row>
    <row r="384" spans="1:20" s="204" customFormat="1" ht="18.75" customHeight="1">
      <c r="A384" s="455" t="s">
        <v>234</v>
      </c>
      <c r="B384" s="305" t="s">
        <v>1502</v>
      </c>
      <c r="C384" s="306" t="s">
        <v>1824</v>
      </c>
      <c r="D384" s="305" t="s">
        <v>46</v>
      </c>
      <c r="E384" s="199">
        <f>SUM(D385)</f>
        <v>106.395</v>
      </c>
      <c r="F384" s="199"/>
      <c r="G384" s="200">
        <f>E384*F384</f>
        <v>0</v>
      </c>
      <c r="H384" s="85">
        <v>0.02</v>
      </c>
      <c r="I384" s="201">
        <f>E384*H384</f>
        <v>2.1279</v>
      </c>
      <c r="J384" s="85">
        <v>0</v>
      </c>
      <c r="K384" s="85">
        <f>E384*J384</f>
        <v>0</v>
      </c>
      <c r="L384" s="85"/>
      <c r="M384" s="85"/>
      <c r="N384" s="202"/>
      <c r="O384" s="794"/>
      <c r="P384" s="806"/>
      <c r="Q384" s="806"/>
      <c r="R384" s="814"/>
      <c r="S384" s="595"/>
      <c r="T384" s="595"/>
    </row>
    <row r="385" spans="1:20" s="595" customFormat="1" ht="21.75" customHeight="1">
      <c r="A385" s="683"/>
      <c r="B385" s="686"/>
      <c r="C385" s="687" t="s">
        <v>1823</v>
      </c>
      <c r="D385" s="685">
        <f>101.3*1.05+0.03</f>
        <v>106.395</v>
      </c>
      <c r="E385" s="688"/>
      <c r="F385" s="688"/>
      <c r="G385" s="689"/>
      <c r="H385" s="593"/>
      <c r="I385" s="593"/>
      <c r="J385" s="593"/>
      <c r="K385" s="593"/>
      <c r="L385" s="593"/>
      <c r="M385" s="593"/>
      <c r="N385" s="594"/>
      <c r="O385" s="794"/>
      <c r="P385" s="806"/>
      <c r="Q385" s="806"/>
      <c r="R385" s="808"/>
      <c r="S385" s="203"/>
      <c r="T385" s="203"/>
    </row>
    <row r="386" spans="1:20" s="204" customFormat="1" ht="22.5" customHeight="1">
      <c r="A386" s="455" t="s">
        <v>237</v>
      </c>
      <c r="B386" s="197" t="s">
        <v>206</v>
      </c>
      <c r="C386" s="136" t="s">
        <v>1263</v>
      </c>
      <c r="D386" s="198" t="s">
        <v>73</v>
      </c>
      <c r="E386" s="199">
        <f>I386</f>
        <v>3.19155</v>
      </c>
      <c r="F386" s="199"/>
      <c r="G386" s="200">
        <f>E386*F386</f>
        <v>0</v>
      </c>
      <c r="H386" s="201"/>
      <c r="I386" s="216">
        <f>SUM(I381:I385)</f>
        <v>3.19155</v>
      </c>
      <c r="J386" s="85"/>
      <c r="K386" s="85">
        <f>E386*J386</f>
        <v>0</v>
      </c>
      <c r="L386" s="85"/>
      <c r="M386" s="85"/>
      <c r="N386" s="202"/>
      <c r="O386" s="794"/>
      <c r="P386" s="806"/>
      <c r="Q386" s="806"/>
      <c r="R386" s="814"/>
      <c r="S386" s="595"/>
      <c r="T386" s="595"/>
    </row>
    <row r="387" spans="1:20" ht="14" thickBot="1">
      <c r="A387" s="218"/>
      <c r="B387" s="219"/>
      <c r="C387" s="220"/>
      <c r="D387" s="221"/>
      <c r="E387" s="222"/>
      <c r="F387" s="223"/>
      <c r="G387" s="224"/>
      <c r="H387" s="77"/>
      <c r="I387" s="77"/>
      <c r="J387" s="77"/>
      <c r="K387" s="77"/>
      <c r="L387" s="77"/>
      <c r="M387" s="77"/>
      <c r="N387" s="78"/>
      <c r="O387" s="793"/>
      <c r="P387" s="804"/>
      <c r="Q387" s="804"/>
      <c r="R387" s="805"/>
      <c r="S387" s="580"/>
      <c r="T387" s="580"/>
    </row>
    <row r="388" spans="1:20" ht="17.25" customHeight="1" thickBot="1">
      <c r="A388" s="225"/>
      <c r="B388" s="226"/>
      <c r="C388" s="227" t="s">
        <v>113</v>
      </c>
      <c r="D388" s="226"/>
      <c r="E388" s="228"/>
      <c r="F388" s="229"/>
      <c r="G388" s="230">
        <f>SUBTOTAL(9,G379:G387)</f>
        <v>0</v>
      </c>
      <c r="H388" s="77"/>
      <c r="I388" s="77"/>
      <c r="J388" s="77"/>
      <c r="K388" s="77"/>
      <c r="L388" s="77"/>
      <c r="M388" s="77"/>
      <c r="N388" s="78"/>
      <c r="R388" s="809"/>
      <c r="S388" s="79"/>
      <c r="T388" s="79"/>
    </row>
    <row r="389" spans="1:20" ht="13" thickBot="1">
      <c r="A389" s="179"/>
      <c r="B389" s="180"/>
      <c r="C389" s="180"/>
      <c r="D389" s="180"/>
      <c r="E389" s="180"/>
      <c r="F389" s="180"/>
      <c r="G389" s="181"/>
      <c r="H389" s="77"/>
      <c r="I389" s="77"/>
      <c r="J389" s="77"/>
      <c r="K389" s="77"/>
      <c r="L389" s="77"/>
      <c r="M389" s="77"/>
      <c r="N389" s="78"/>
      <c r="R389" s="809"/>
      <c r="S389" s="79"/>
      <c r="T389" s="79"/>
    </row>
    <row r="390" spans="1:20" ht="13" thickBot="1">
      <c r="A390" s="182" t="s">
        <v>406</v>
      </c>
      <c r="B390" s="183"/>
      <c r="C390" s="184" t="s">
        <v>342</v>
      </c>
      <c r="D390" s="185"/>
      <c r="E390" s="292"/>
      <c r="F390" s="293"/>
      <c r="G390" s="188"/>
      <c r="H390" s="77"/>
      <c r="I390" s="77"/>
      <c r="J390" s="77"/>
      <c r="K390" s="77"/>
      <c r="L390" s="77"/>
      <c r="M390" s="77"/>
      <c r="N390" s="78"/>
      <c r="R390" s="809"/>
      <c r="S390" s="79"/>
      <c r="T390" s="79"/>
    </row>
    <row r="391" spans="1:20" ht="12.75">
      <c r="A391" s="189"/>
      <c r="B391" s="231"/>
      <c r="C391" s="232"/>
      <c r="D391" s="233"/>
      <c r="E391" s="234"/>
      <c r="F391" s="235"/>
      <c r="G391" s="236"/>
      <c r="H391" s="77"/>
      <c r="I391" s="77"/>
      <c r="J391" s="77"/>
      <c r="K391" s="77"/>
      <c r="L391" s="77"/>
      <c r="M391" s="77"/>
      <c r="N391" s="78"/>
      <c r="R391" s="809"/>
      <c r="S391" s="79"/>
      <c r="T391" s="79"/>
    </row>
    <row r="392" spans="1:20" s="267" customFormat="1" ht="12.75">
      <c r="A392" s="262"/>
      <c r="B392" s="253"/>
      <c r="C392" s="254" t="s">
        <v>1030</v>
      </c>
      <c r="D392" s="253"/>
      <c r="E392" s="256"/>
      <c r="F392" s="256"/>
      <c r="G392" s="460"/>
      <c r="H392" s="264"/>
      <c r="I392" s="264"/>
      <c r="J392" s="264"/>
      <c r="K392" s="264"/>
      <c r="L392" s="264"/>
      <c r="M392" s="264"/>
      <c r="N392" s="265"/>
      <c r="O392" s="794"/>
      <c r="P392" s="806"/>
      <c r="Q392" s="806"/>
      <c r="R392" s="808"/>
      <c r="S392" s="203"/>
      <c r="T392" s="203"/>
    </row>
    <row r="393" spans="1:20" s="244" customFormat="1" ht="21" customHeight="1">
      <c r="A393" s="196" t="s">
        <v>407</v>
      </c>
      <c r="B393" s="197">
        <v>784121001</v>
      </c>
      <c r="C393" s="294" t="s">
        <v>1683</v>
      </c>
      <c r="D393" s="295" t="s">
        <v>46</v>
      </c>
      <c r="E393" s="404">
        <v>56.2</v>
      </c>
      <c r="F393" s="404"/>
      <c r="G393" s="200">
        <f>E393*F393</f>
        <v>0</v>
      </c>
      <c r="H393" s="242">
        <v>0</v>
      </c>
      <c r="I393" s="242">
        <f>E393*H393</f>
        <v>0</v>
      </c>
      <c r="J393" s="243">
        <v>0.00031</v>
      </c>
      <c r="K393" s="243">
        <f>E393*J393</f>
        <v>0.017422</v>
      </c>
      <c r="L393" s="243"/>
      <c r="M393" s="243"/>
      <c r="N393" s="405"/>
      <c r="O393" s="406"/>
      <c r="P393" s="406"/>
      <c r="Q393" s="406"/>
      <c r="R393" s="406"/>
      <c r="S393" s="406"/>
      <c r="T393" s="406"/>
    </row>
    <row r="394" spans="1:20" s="244" customFormat="1" ht="21" customHeight="1">
      <c r="A394" s="196" t="s">
        <v>408</v>
      </c>
      <c r="B394" s="197">
        <v>784121011</v>
      </c>
      <c r="C394" s="294" t="s">
        <v>1684</v>
      </c>
      <c r="D394" s="295" t="s">
        <v>46</v>
      </c>
      <c r="E394" s="404">
        <f>E393</f>
        <v>56.2</v>
      </c>
      <c r="F394" s="404"/>
      <c r="G394" s="200">
        <f>E394*F394</f>
        <v>0</v>
      </c>
      <c r="H394" s="242"/>
      <c r="I394" s="242"/>
      <c r="J394" s="243"/>
      <c r="K394" s="243"/>
      <c r="L394" s="243"/>
      <c r="M394" s="243"/>
      <c r="N394" s="405"/>
      <c r="O394" s="406"/>
      <c r="P394" s="406"/>
      <c r="Q394" s="406"/>
      <c r="R394" s="406"/>
      <c r="S394" s="406"/>
      <c r="T394" s="406"/>
    </row>
    <row r="395" spans="1:12" s="251" customFormat="1" ht="19.5" customHeight="1">
      <c r="A395" s="683"/>
      <c r="B395" s="771"/>
      <c r="C395" s="772"/>
      <c r="D395" s="727"/>
      <c r="E395" s="773"/>
      <c r="F395" s="774"/>
      <c r="G395" s="775"/>
      <c r="H395" s="250"/>
      <c r="I395" s="250"/>
      <c r="J395" s="250"/>
      <c r="K395" s="250"/>
      <c r="L395" s="250"/>
    </row>
    <row r="396" spans="1:20" s="204" customFormat="1" ht="29.25" customHeight="1">
      <c r="A396" s="196" t="s">
        <v>409</v>
      </c>
      <c r="B396" s="197" t="s">
        <v>212</v>
      </c>
      <c r="C396" s="136" t="s">
        <v>213</v>
      </c>
      <c r="D396" s="198" t="s">
        <v>46</v>
      </c>
      <c r="E396" s="199">
        <v>89.9</v>
      </c>
      <c r="F396" s="199"/>
      <c r="G396" s="200">
        <f>E396*F396</f>
        <v>0</v>
      </c>
      <c r="H396" s="201">
        <v>0</v>
      </c>
      <c r="I396" s="201">
        <f>E396*H396</f>
        <v>0</v>
      </c>
      <c r="J396" s="85">
        <v>0</v>
      </c>
      <c r="K396" s="85">
        <f>E396*J396</f>
        <v>0</v>
      </c>
      <c r="L396" s="85"/>
      <c r="M396" s="85"/>
      <c r="N396" s="202"/>
      <c r="O396" s="203"/>
      <c r="P396" s="203"/>
      <c r="Q396" s="203"/>
      <c r="R396" s="203"/>
      <c r="S396" s="203"/>
      <c r="T396" s="203"/>
    </row>
    <row r="397" spans="1:20" s="204" customFormat="1" ht="29.25" customHeight="1">
      <c r="A397" s="196" t="s">
        <v>410</v>
      </c>
      <c r="B397" s="197" t="s">
        <v>215</v>
      </c>
      <c r="C397" s="136" t="s">
        <v>216</v>
      </c>
      <c r="D397" s="198" t="s">
        <v>46</v>
      </c>
      <c r="E397" s="199">
        <f>SUM(D398)</f>
        <v>140.0025</v>
      </c>
      <c r="F397" s="199"/>
      <c r="G397" s="200">
        <f>E397*F397</f>
        <v>0</v>
      </c>
      <c r="H397" s="201">
        <v>0</v>
      </c>
      <c r="I397" s="201">
        <f>E397*H397</f>
        <v>0</v>
      </c>
      <c r="J397" s="85">
        <v>0</v>
      </c>
      <c r="K397" s="85">
        <f>E397*J397</f>
        <v>0</v>
      </c>
      <c r="L397" s="85"/>
      <c r="M397" s="85"/>
      <c r="N397" s="202"/>
      <c r="O397" s="203"/>
      <c r="P397" s="203"/>
      <c r="Q397" s="203"/>
      <c r="R397" s="203"/>
      <c r="S397" s="203"/>
      <c r="T397" s="203"/>
    </row>
    <row r="398" spans="1:14" s="595" customFormat="1" ht="23.25" customHeight="1">
      <c r="A398" s="683"/>
      <c r="B398" s="686"/>
      <c r="C398" s="687" t="s">
        <v>1829</v>
      </c>
      <c r="D398" s="685">
        <f>1.6*2.5+1.16*1.75+0.61*1.75+3.94*1.75+2.85*3+1.88*2*2+101.3+5.9*1.5-0.21</f>
        <v>140.0025</v>
      </c>
      <c r="E398" s="688"/>
      <c r="F398" s="688"/>
      <c r="G398" s="689"/>
      <c r="H398" s="593"/>
      <c r="I398" s="593"/>
      <c r="J398" s="593"/>
      <c r="K398" s="593"/>
      <c r="L398" s="593"/>
      <c r="M398" s="593"/>
      <c r="N398" s="594"/>
    </row>
    <row r="399" spans="1:20" s="204" customFormat="1" ht="23.25" customHeight="1">
      <c r="A399" s="196" t="s">
        <v>411</v>
      </c>
      <c r="B399" s="197" t="s">
        <v>218</v>
      </c>
      <c r="C399" s="136" t="s">
        <v>219</v>
      </c>
      <c r="D399" s="198" t="s">
        <v>46</v>
      </c>
      <c r="E399" s="199">
        <f>1.05*(E396+E397)</f>
        <v>241.397625</v>
      </c>
      <c r="F399" s="199"/>
      <c r="G399" s="200">
        <f>E399*F399</f>
        <v>0</v>
      </c>
      <c r="H399" s="201">
        <v>0</v>
      </c>
      <c r="I399" s="201">
        <f>E399*H399</f>
        <v>0</v>
      </c>
      <c r="J399" s="85"/>
      <c r="K399" s="85">
        <f>E399*J399</f>
        <v>0</v>
      </c>
      <c r="L399" s="85"/>
      <c r="M399" s="85"/>
      <c r="N399" s="202"/>
      <c r="O399" s="203"/>
      <c r="P399" s="203"/>
      <c r="Q399" s="203"/>
      <c r="R399" s="203"/>
      <c r="S399" s="203"/>
      <c r="T399" s="203"/>
    </row>
    <row r="400" spans="1:20" s="204" customFormat="1" ht="21" customHeight="1">
      <c r="A400" s="196" t="s">
        <v>412</v>
      </c>
      <c r="B400" s="197" t="s">
        <v>221</v>
      </c>
      <c r="C400" s="136" t="s">
        <v>222</v>
      </c>
      <c r="D400" s="198" t="s">
        <v>46</v>
      </c>
      <c r="E400" s="669">
        <f>SUM(D401)</f>
        <v>267.4</v>
      </c>
      <c r="F400" s="199"/>
      <c r="G400" s="200">
        <f>E400*F400</f>
        <v>0</v>
      </c>
      <c r="H400" s="201">
        <v>0.00021</v>
      </c>
      <c r="I400" s="201">
        <f>E400*H400</f>
        <v>0.056153999999999996</v>
      </c>
      <c r="J400" s="85">
        <v>0</v>
      </c>
      <c r="K400" s="85">
        <f>E400*J400</f>
        <v>0</v>
      </c>
      <c r="L400" s="85"/>
      <c r="M400" s="85"/>
      <c r="N400" s="202"/>
      <c r="O400" s="203"/>
      <c r="P400" s="203"/>
      <c r="Q400" s="203"/>
      <c r="R400" s="203"/>
      <c r="S400" s="203"/>
      <c r="T400" s="203"/>
    </row>
    <row r="401" spans="1:20" s="596" customFormat="1" ht="19.5" customHeight="1">
      <c r="A401" s="683"/>
      <c r="B401" s="681"/>
      <c r="C401" s="678" t="s">
        <v>1830</v>
      </c>
      <c r="D401" s="685">
        <f>317.5+89.9-140</f>
        <v>267.4</v>
      </c>
      <c r="E401" s="679"/>
      <c r="F401" s="679"/>
      <c r="G401" s="680"/>
      <c r="H401" s="592"/>
      <c r="I401" s="592"/>
      <c r="J401" s="593"/>
      <c r="K401" s="593"/>
      <c r="L401" s="593"/>
      <c r="M401" s="593"/>
      <c r="N401" s="594"/>
      <c r="O401" s="595"/>
      <c r="P401" s="595"/>
      <c r="Q401" s="595"/>
      <c r="R401" s="595"/>
      <c r="S401" s="595"/>
      <c r="T401" s="595"/>
    </row>
    <row r="402" spans="1:20" s="204" customFormat="1" ht="25.5" customHeight="1">
      <c r="A402" s="196" t="s">
        <v>413</v>
      </c>
      <c r="B402" s="197" t="s">
        <v>224</v>
      </c>
      <c r="C402" s="136" t="s">
        <v>225</v>
      </c>
      <c r="D402" s="198" t="s">
        <v>46</v>
      </c>
      <c r="E402" s="199">
        <v>115.6</v>
      </c>
      <c r="F402" s="199"/>
      <c r="G402" s="200">
        <f>E402*F402</f>
        <v>0</v>
      </c>
      <c r="H402" s="201">
        <v>0.00021</v>
      </c>
      <c r="I402" s="201">
        <f>E402*H402</f>
        <v>0.024276</v>
      </c>
      <c r="J402" s="85">
        <v>0</v>
      </c>
      <c r="K402" s="85">
        <f>E402*J402</f>
        <v>0</v>
      </c>
      <c r="L402" s="85"/>
      <c r="M402" s="85"/>
      <c r="N402" s="202"/>
      <c r="O402" s="203"/>
      <c r="P402" s="203"/>
      <c r="Q402" s="203"/>
      <c r="R402" s="203"/>
      <c r="S402" s="203"/>
      <c r="T402" s="203"/>
    </row>
    <row r="403" spans="1:20" s="204" customFormat="1" ht="28.5" customHeight="1">
      <c r="A403" s="196" t="s">
        <v>1872</v>
      </c>
      <c r="B403" s="197" t="s">
        <v>227</v>
      </c>
      <c r="C403" s="136" t="s">
        <v>1727</v>
      </c>
      <c r="D403" s="198" t="s">
        <v>46</v>
      </c>
      <c r="E403" s="199">
        <f>267.4-E402</f>
        <v>151.79999999999998</v>
      </c>
      <c r="F403" s="199"/>
      <c r="G403" s="200">
        <f>E403*F403</f>
        <v>0</v>
      </c>
      <c r="H403" s="201">
        <v>0.00028</v>
      </c>
      <c r="I403" s="201">
        <f>E403*H403</f>
        <v>0.04250399999999999</v>
      </c>
      <c r="J403" s="85">
        <v>0</v>
      </c>
      <c r="K403" s="85">
        <f>E403*J403</f>
        <v>0</v>
      </c>
      <c r="L403" s="85"/>
      <c r="M403" s="85"/>
      <c r="N403" s="202"/>
      <c r="O403" s="203"/>
      <c r="P403" s="203"/>
      <c r="Q403" s="203"/>
      <c r="R403" s="203"/>
      <c r="S403" s="203"/>
      <c r="T403" s="203"/>
    </row>
    <row r="404" spans="1:18" s="244" customFormat="1" ht="20.25" customHeight="1">
      <c r="A404" s="455"/>
      <c r="B404" s="477"/>
      <c r="C404" s="306"/>
      <c r="D404" s="305"/>
      <c r="E404" s="439"/>
      <c r="F404" s="439"/>
      <c r="G404" s="478"/>
      <c r="H404" s="241"/>
      <c r="I404" s="241"/>
      <c r="J404" s="241"/>
      <c r="K404" s="241"/>
      <c r="L404" s="241"/>
      <c r="O404" s="796"/>
      <c r="P404" s="811"/>
      <c r="Q404" s="811"/>
      <c r="R404" s="818"/>
    </row>
    <row r="405" spans="1:20" s="267" customFormat="1" ht="12.75">
      <c r="A405" s="262"/>
      <c r="B405" s="253"/>
      <c r="C405" s="254" t="s">
        <v>1354</v>
      </c>
      <c r="D405" s="253"/>
      <c r="E405" s="256"/>
      <c r="F405" s="256"/>
      <c r="G405" s="460"/>
      <c r="H405" s="264"/>
      <c r="I405" s="264"/>
      <c r="J405" s="264"/>
      <c r="K405" s="264"/>
      <c r="L405" s="264"/>
      <c r="M405" s="264"/>
      <c r="N405" s="265"/>
      <c r="O405" s="794"/>
      <c r="P405" s="806"/>
      <c r="Q405" s="806"/>
      <c r="R405" s="808"/>
      <c r="S405" s="203"/>
      <c r="T405" s="203"/>
    </row>
    <row r="406" spans="1:20" s="244" customFormat="1" ht="20.25" customHeight="1">
      <c r="A406" s="196" t="s">
        <v>1873</v>
      </c>
      <c r="B406" s="305" t="s">
        <v>1143</v>
      </c>
      <c r="C406" s="306" t="s">
        <v>1144</v>
      </c>
      <c r="D406" s="305" t="s">
        <v>46</v>
      </c>
      <c r="E406" s="439">
        <f>SUM(D407)</f>
        <v>54.035999999999994</v>
      </c>
      <c r="F406" s="439"/>
      <c r="G406" s="240">
        <f aca="true" t="shared" si="10" ref="G406:G415">$E406*F406</f>
        <v>0</v>
      </c>
      <c r="H406" s="241"/>
      <c r="I406" s="241"/>
      <c r="J406" s="241"/>
      <c r="K406" s="241"/>
      <c r="L406" s="241"/>
      <c r="O406" s="796"/>
      <c r="P406" s="811"/>
      <c r="Q406" s="811"/>
      <c r="R406" s="850"/>
      <c r="S406" s="277"/>
      <c r="T406" s="277"/>
    </row>
    <row r="407" spans="1:20" s="214" customFormat="1" ht="15" customHeight="1">
      <c r="A407" s="196"/>
      <c r="B407" s="205"/>
      <c r="C407" s="206" t="s">
        <v>1152</v>
      </c>
      <c r="D407" s="207">
        <f>(21.55*2.8)-0.8*1.97*4</f>
        <v>54.035999999999994</v>
      </c>
      <c r="E407" s="208"/>
      <c r="F407" s="208"/>
      <c r="G407" s="209"/>
      <c r="H407" s="211"/>
      <c r="I407" s="85"/>
      <c r="J407" s="210"/>
      <c r="K407" s="210"/>
      <c r="L407" s="211"/>
      <c r="M407" s="211"/>
      <c r="N407" s="212"/>
      <c r="O407" s="796"/>
      <c r="P407" s="811"/>
      <c r="Q407" s="811"/>
      <c r="R407" s="818"/>
      <c r="S407" s="244"/>
      <c r="T407" s="244"/>
    </row>
    <row r="408" spans="1:20" s="244" customFormat="1" ht="33" customHeight="1">
      <c r="A408" s="196" t="s">
        <v>1874</v>
      </c>
      <c r="B408" s="305" t="s">
        <v>1145</v>
      </c>
      <c r="C408" s="306" t="s">
        <v>1146</v>
      </c>
      <c r="D408" s="305" t="s">
        <v>116</v>
      </c>
      <c r="E408" s="439">
        <f>5*2.8</f>
        <v>14</v>
      </c>
      <c r="F408" s="439"/>
      <c r="G408" s="240">
        <f t="shared" si="10"/>
        <v>0</v>
      </c>
      <c r="H408" s="241"/>
      <c r="I408" s="241"/>
      <c r="J408" s="241"/>
      <c r="K408" s="241"/>
      <c r="L408" s="241"/>
      <c r="O408" s="794"/>
      <c r="P408" s="806"/>
      <c r="Q408" s="806"/>
      <c r="R408" s="807"/>
      <c r="S408" s="213"/>
      <c r="T408" s="213"/>
    </row>
    <row r="409" spans="1:18" s="244" customFormat="1" ht="20.25" customHeight="1">
      <c r="A409" s="196" t="s">
        <v>1875</v>
      </c>
      <c r="B409" s="305" t="s">
        <v>212</v>
      </c>
      <c r="C409" s="306" t="s">
        <v>1147</v>
      </c>
      <c r="D409" s="305" t="s">
        <v>46</v>
      </c>
      <c r="E409" s="439">
        <v>23</v>
      </c>
      <c r="F409" s="439"/>
      <c r="G409" s="240">
        <f t="shared" si="10"/>
        <v>0</v>
      </c>
      <c r="H409" s="241"/>
      <c r="I409" s="241"/>
      <c r="J409" s="241"/>
      <c r="K409" s="241"/>
      <c r="L409" s="241"/>
      <c r="O409" s="796"/>
      <c r="P409" s="811"/>
      <c r="Q409" s="811"/>
      <c r="R409" s="818"/>
    </row>
    <row r="410" spans="1:20" s="204" customFormat="1" ht="29.25" customHeight="1">
      <c r="A410" s="196" t="s">
        <v>1876</v>
      </c>
      <c r="B410" s="197" t="s">
        <v>215</v>
      </c>
      <c r="C410" s="136" t="s">
        <v>216</v>
      </c>
      <c r="D410" s="198" t="s">
        <v>46</v>
      </c>
      <c r="E410" s="199">
        <f>SUM(D411)</f>
        <v>10.5</v>
      </c>
      <c r="F410" s="199"/>
      <c r="G410" s="200">
        <f>E410*F410</f>
        <v>0</v>
      </c>
      <c r="H410" s="201">
        <v>0</v>
      </c>
      <c r="I410" s="201">
        <f>E410*H410</f>
        <v>0</v>
      </c>
      <c r="J410" s="85">
        <v>0</v>
      </c>
      <c r="K410" s="85">
        <f>E410*J410</f>
        <v>0</v>
      </c>
      <c r="L410" s="85"/>
      <c r="M410" s="85"/>
      <c r="N410" s="202"/>
      <c r="O410" s="796"/>
      <c r="P410" s="811"/>
      <c r="Q410" s="811"/>
      <c r="R410" s="818"/>
      <c r="S410" s="244"/>
      <c r="T410" s="244"/>
    </row>
    <row r="411" spans="1:20" s="214" customFormat="1" ht="15" customHeight="1">
      <c r="A411" s="196"/>
      <c r="B411" s="205"/>
      <c r="C411" s="206" t="s">
        <v>1747</v>
      </c>
      <c r="D411" s="207">
        <f>1.61*1.55+1.11*1.55+0.8*1.97*4-0.02</f>
        <v>10.5</v>
      </c>
      <c r="E411" s="208"/>
      <c r="F411" s="208"/>
      <c r="G411" s="209"/>
      <c r="H411" s="211"/>
      <c r="I411" s="85"/>
      <c r="J411" s="210"/>
      <c r="K411" s="210"/>
      <c r="L411" s="211"/>
      <c r="M411" s="211"/>
      <c r="N411" s="212"/>
      <c r="O411" s="794"/>
      <c r="P411" s="806"/>
      <c r="Q411" s="806"/>
      <c r="R411" s="808"/>
      <c r="S411" s="203"/>
      <c r="T411" s="203"/>
    </row>
    <row r="412" spans="1:20" s="244" customFormat="1" ht="20.25" customHeight="1">
      <c r="A412" s="196" t="s">
        <v>1877</v>
      </c>
      <c r="B412" s="305" t="s">
        <v>218</v>
      </c>
      <c r="C412" s="306" t="s">
        <v>219</v>
      </c>
      <c r="D412" s="305" t="s">
        <v>46</v>
      </c>
      <c r="E412" s="439">
        <f>(23+E410)*1.05</f>
        <v>35.175000000000004</v>
      </c>
      <c r="F412" s="439"/>
      <c r="G412" s="240">
        <f t="shared" si="10"/>
        <v>0</v>
      </c>
      <c r="H412" s="241"/>
      <c r="I412" s="241"/>
      <c r="J412" s="241"/>
      <c r="K412" s="241"/>
      <c r="L412" s="241"/>
      <c r="O412" s="794"/>
      <c r="P412" s="806"/>
      <c r="Q412" s="806"/>
      <c r="R412" s="807"/>
      <c r="S412" s="213"/>
      <c r="T412" s="213"/>
    </row>
    <row r="413" spans="1:18" s="244" customFormat="1" ht="30.75" customHeight="1">
      <c r="A413" s="196" t="s">
        <v>1878</v>
      </c>
      <c r="B413" s="305" t="s">
        <v>1148</v>
      </c>
      <c r="C413" s="306" t="s">
        <v>1149</v>
      </c>
      <c r="D413" s="305" t="s">
        <v>46</v>
      </c>
      <c r="E413" s="439">
        <f>SUM(D414)</f>
        <v>77.096</v>
      </c>
      <c r="F413" s="439"/>
      <c r="G413" s="240">
        <f t="shared" si="10"/>
        <v>0</v>
      </c>
      <c r="H413" s="241"/>
      <c r="I413" s="241"/>
      <c r="J413" s="241"/>
      <c r="K413" s="241"/>
      <c r="L413" s="241"/>
      <c r="O413" s="796"/>
      <c r="P413" s="811"/>
      <c r="Q413" s="811"/>
      <c r="R413" s="818"/>
    </row>
    <row r="414" spans="1:20" s="214" customFormat="1" ht="15" customHeight="1">
      <c r="A414" s="196"/>
      <c r="B414" s="205"/>
      <c r="C414" s="206" t="s">
        <v>1153</v>
      </c>
      <c r="D414" s="207">
        <f>(21.55*2.8)-0.8*1.97*4+23+0.06</f>
        <v>77.096</v>
      </c>
      <c r="E414" s="208"/>
      <c r="F414" s="208"/>
      <c r="G414" s="209"/>
      <c r="H414" s="211"/>
      <c r="I414" s="85"/>
      <c r="J414" s="210"/>
      <c r="K414" s="210"/>
      <c r="L414" s="211"/>
      <c r="M414" s="211"/>
      <c r="N414" s="212"/>
      <c r="O414" s="796"/>
      <c r="P414" s="811"/>
      <c r="Q414" s="811"/>
      <c r="R414" s="818"/>
      <c r="S414" s="244"/>
      <c r="T414" s="244"/>
    </row>
    <row r="415" spans="1:20" s="244" customFormat="1" ht="30.75" customHeight="1">
      <c r="A415" s="196" t="s">
        <v>1879</v>
      </c>
      <c r="B415" s="305" t="s">
        <v>1150</v>
      </c>
      <c r="C415" s="306" t="s">
        <v>1151</v>
      </c>
      <c r="D415" s="305" t="s">
        <v>46</v>
      </c>
      <c r="E415" s="439">
        <f>E413</f>
        <v>77.096</v>
      </c>
      <c r="F415" s="439"/>
      <c r="G415" s="240">
        <f t="shared" si="10"/>
        <v>0</v>
      </c>
      <c r="H415" s="241"/>
      <c r="I415" s="241"/>
      <c r="J415" s="241"/>
      <c r="K415" s="241"/>
      <c r="L415" s="241"/>
      <c r="O415" s="794"/>
      <c r="P415" s="806"/>
      <c r="Q415" s="806"/>
      <c r="R415" s="807"/>
      <c r="S415" s="213"/>
      <c r="T415" s="213"/>
    </row>
    <row r="416" spans="1:20" ht="13" thickBot="1">
      <c r="A416" s="298"/>
      <c r="B416" s="153"/>
      <c r="C416" s="299"/>
      <c r="D416" s="153"/>
      <c r="E416" s="300"/>
      <c r="F416" s="301"/>
      <c r="G416" s="302"/>
      <c r="H416" s="77"/>
      <c r="I416" s="77"/>
      <c r="J416" s="77"/>
      <c r="K416" s="77"/>
      <c r="L416" s="77"/>
      <c r="M416" s="77"/>
      <c r="N416" s="78"/>
      <c r="O416" s="794"/>
      <c r="P416" s="806"/>
      <c r="Q416" s="806"/>
      <c r="R416" s="808"/>
      <c r="S416" s="203"/>
      <c r="T416" s="203"/>
    </row>
    <row r="417" spans="1:20" ht="13" thickBot="1">
      <c r="A417" s="225"/>
      <c r="B417" s="226"/>
      <c r="C417" s="227" t="s">
        <v>113</v>
      </c>
      <c r="D417" s="226"/>
      <c r="E417" s="303"/>
      <c r="F417" s="304"/>
      <c r="G417" s="230">
        <f>SUBTOTAL(9,G391:G416)</f>
        <v>0</v>
      </c>
      <c r="H417" s="77"/>
      <c r="I417" s="77"/>
      <c r="J417" s="77"/>
      <c r="K417" s="77"/>
      <c r="L417" s="77"/>
      <c r="M417" s="77"/>
      <c r="N417" s="78"/>
      <c r="R417" s="809"/>
      <c r="S417" s="79"/>
      <c r="T417" s="79"/>
    </row>
    <row r="418" spans="1:20" ht="13" thickBot="1">
      <c r="A418" s="179"/>
      <c r="B418" s="180"/>
      <c r="C418" s="180"/>
      <c r="D418" s="180"/>
      <c r="E418" s="180"/>
      <c r="F418" s="180"/>
      <c r="G418" s="181"/>
      <c r="H418" s="77"/>
      <c r="I418" s="77"/>
      <c r="J418" s="77"/>
      <c r="K418" s="77"/>
      <c r="L418" s="77"/>
      <c r="M418" s="77"/>
      <c r="N418" s="78"/>
      <c r="R418" s="809"/>
      <c r="S418" s="79"/>
      <c r="T418" s="79"/>
    </row>
    <row r="419" spans="1:20" ht="13" thickBot="1">
      <c r="A419" s="182" t="s">
        <v>1645</v>
      </c>
      <c r="B419" s="183"/>
      <c r="C419" s="184" t="s">
        <v>229</v>
      </c>
      <c r="D419" s="185"/>
      <c r="E419" s="292"/>
      <c r="F419" s="293"/>
      <c r="G419" s="188"/>
      <c r="H419" s="77"/>
      <c r="I419" s="77"/>
      <c r="J419" s="77"/>
      <c r="K419" s="77"/>
      <c r="L419" s="77"/>
      <c r="M419" s="77"/>
      <c r="N419" s="78"/>
      <c r="R419" s="809"/>
      <c r="S419" s="79"/>
      <c r="T419" s="79"/>
    </row>
    <row r="420" spans="1:20" ht="12.75">
      <c r="A420" s="189"/>
      <c r="B420" s="231"/>
      <c r="C420" s="232"/>
      <c r="D420" s="233"/>
      <c r="E420" s="234"/>
      <c r="F420" s="235"/>
      <c r="G420" s="236"/>
      <c r="H420" s="77"/>
      <c r="I420" s="77"/>
      <c r="J420" s="77"/>
      <c r="K420" s="77"/>
      <c r="L420" s="77"/>
      <c r="M420" s="77"/>
      <c r="N420" s="78"/>
      <c r="R420" s="809"/>
      <c r="S420" s="79"/>
      <c r="T420" s="79"/>
    </row>
    <row r="421" spans="1:20" s="267" customFormat="1" ht="12.75">
      <c r="A421" s="262"/>
      <c r="B421" s="253"/>
      <c r="C421" s="254" t="s">
        <v>1736</v>
      </c>
      <c r="D421" s="253"/>
      <c r="E421" s="256"/>
      <c r="F421" s="256"/>
      <c r="G421" s="460"/>
      <c r="H421" s="264"/>
      <c r="I421" s="264"/>
      <c r="J421" s="264"/>
      <c r="K421" s="264"/>
      <c r="L421" s="264"/>
      <c r="M421" s="264"/>
      <c r="N421" s="265"/>
      <c r="O421" s="794"/>
      <c r="P421" s="806"/>
      <c r="Q421" s="806"/>
      <c r="R421" s="808"/>
      <c r="S421" s="203"/>
      <c r="T421" s="203"/>
    </row>
    <row r="422" spans="1:20" s="204" customFormat="1" ht="32.25" customHeight="1">
      <c r="A422" s="196" t="s">
        <v>1667</v>
      </c>
      <c r="B422" s="305" t="s">
        <v>345</v>
      </c>
      <c r="C422" s="306" t="s">
        <v>1355</v>
      </c>
      <c r="D422" s="198" t="s">
        <v>46</v>
      </c>
      <c r="E422" s="199">
        <f>SUM(D423)</f>
        <v>29.504000000000005</v>
      </c>
      <c r="F422" s="199"/>
      <c r="G422" s="200">
        <f>E422*F422</f>
        <v>0</v>
      </c>
      <c r="H422" s="85">
        <v>0</v>
      </c>
      <c r="I422" s="85">
        <f>E422*H422</f>
        <v>0</v>
      </c>
      <c r="J422" s="201">
        <v>0.011820000000000002</v>
      </c>
      <c r="K422" s="201">
        <f>E422*J422</f>
        <v>0.34873728000000015</v>
      </c>
      <c r="L422" s="85"/>
      <c r="M422" s="85"/>
      <c r="N422" s="202"/>
      <c r="O422" s="794"/>
      <c r="P422" s="806"/>
      <c r="Q422" s="806"/>
      <c r="R422" s="833"/>
      <c r="S422" s="266"/>
      <c r="T422" s="266"/>
    </row>
    <row r="423" spans="1:20" s="251" customFormat="1" ht="17.25" customHeight="1">
      <c r="A423" s="196"/>
      <c r="B423" s="205"/>
      <c r="C423" s="245" t="s">
        <v>1735</v>
      </c>
      <c r="D423" s="246">
        <f>5.4+1.2*0.17*12+6.3+1.2*0.17*13+4.9+1.2*0.17*11+1.5+0.9*0.2*10+2.26</f>
        <v>29.504000000000005</v>
      </c>
      <c r="E423" s="247"/>
      <c r="F423" s="247"/>
      <c r="G423" s="248"/>
      <c r="H423" s="250"/>
      <c r="I423" s="250"/>
      <c r="J423" s="249"/>
      <c r="K423" s="250"/>
      <c r="L423" s="250"/>
      <c r="O423" s="794"/>
      <c r="P423" s="806"/>
      <c r="Q423" s="806"/>
      <c r="R423" s="808"/>
      <c r="S423" s="203"/>
      <c r="T423" s="203"/>
    </row>
    <row r="424" spans="1:20" s="204" customFormat="1" ht="21.75" customHeight="1">
      <c r="A424" s="196" t="s">
        <v>1668</v>
      </c>
      <c r="B424" s="305" t="s">
        <v>1351</v>
      </c>
      <c r="C424" s="306" t="s">
        <v>1353</v>
      </c>
      <c r="D424" s="305" t="s">
        <v>46</v>
      </c>
      <c r="E424" s="199">
        <f>E422</f>
        <v>29.504000000000005</v>
      </c>
      <c r="F424" s="199"/>
      <c r="G424" s="200">
        <f>E424*F424</f>
        <v>0</v>
      </c>
      <c r="H424" s="85">
        <v>0.01725</v>
      </c>
      <c r="I424" s="85">
        <f>E424*H424</f>
        <v>0.5089440000000002</v>
      </c>
      <c r="J424" s="85">
        <v>0</v>
      </c>
      <c r="K424" s="201">
        <f>E424*J424</f>
        <v>0</v>
      </c>
      <c r="L424" s="85"/>
      <c r="M424" s="85"/>
      <c r="N424" s="202"/>
      <c r="O424" s="796"/>
      <c r="P424" s="811"/>
      <c r="Q424" s="811"/>
      <c r="R424" s="812"/>
      <c r="S424" s="251"/>
      <c r="T424" s="251"/>
    </row>
    <row r="425" spans="1:20" s="204" customFormat="1" ht="21.75" customHeight="1">
      <c r="A425" s="196" t="s">
        <v>1669</v>
      </c>
      <c r="B425" s="197" t="s">
        <v>1352</v>
      </c>
      <c r="C425" s="136" t="s">
        <v>1734</v>
      </c>
      <c r="D425" s="198" t="s">
        <v>46</v>
      </c>
      <c r="E425" s="199">
        <f>E422</f>
        <v>29.504000000000005</v>
      </c>
      <c r="F425" s="199"/>
      <c r="G425" s="200">
        <f>E425*F425</f>
        <v>0</v>
      </c>
      <c r="H425" s="85">
        <v>0</v>
      </c>
      <c r="I425" s="85">
        <f>E425*H425</f>
        <v>0</v>
      </c>
      <c r="J425" s="201">
        <v>1E-05</v>
      </c>
      <c r="K425" s="201">
        <f>E425*J425</f>
        <v>0.00029504000000000005</v>
      </c>
      <c r="L425" s="85"/>
      <c r="M425" s="85"/>
      <c r="N425" s="202"/>
      <c r="O425" s="794"/>
      <c r="P425" s="806"/>
      <c r="Q425" s="806"/>
      <c r="R425" s="808"/>
      <c r="S425" s="203"/>
      <c r="T425" s="203"/>
    </row>
    <row r="426" spans="1:20" s="267" customFormat="1" ht="12.75">
      <c r="A426" s="262"/>
      <c r="B426" s="253"/>
      <c r="C426" s="254" t="s">
        <v>1880</v>
      </c>
      <c r="D426" s="253"/>
      <c r="E426" s="256"/>
      <c r="F426" s="256"/>
      <c r="G426" s="460"/>
      <c r="H426" s="264"/>
      <c r="I426" s="264"/>
      <c r="J426" s="264"/>
      <c r="K426" s="264"/>
      <c r="L426" s="264"/>
      <c r="M426" s="264"/>
      <c r="N426" s="265"/>
      <c r="O426" s="794"/>
      <c r="P426" s="806"/>
      <c r="Q426" s="806"/>
      <c r="R426" s="808"/>
      <c r="S426" s="203"/>
      <c r="T426" s="203"/>
    </row>
    <row r="427" spans="1:18" s="244" customFormat="1" ht="22">
      <c r="A427" s="196" t="s">
        <v>1670</v>
      </c>
      <c r="B427" s="305">
        <v>763121411</v>
      </c>
      <c r="C427" s="306" t="s">
        <v>231</v>
      </c>
      <c r="D427" s="295" t="s">
        <v>46</v>
      </c>
      <c r="E427" s="404">
        <v>8</v>
      </c>
      <c r="F427" s="404"/>
      <c r="G427" s="200">
        <f>E427*F427</f>
        <v>0</v>
      </c>
      <c r="H427" s="242">
        <v>0.011820000000000002</v>
      </c>
      <c r="I427" s="242">
        <f>E427*H427</f>
        <v>0.09456000000000002</v>
      </c>
      <c r="J427" s="243">
        <v>0</v>
      </c>
      <c r="K427" s="243">
        <f>E427*J427</f>
        <v>0</v>
      </c>
      <c r="L427" s="243"/>
      <c r="M427" s="243"/>
      <c r="N427" s="405"/>
      <c r="O427" s="796"/>
      <c r="P427" s="811"/>
      <c r="Q427" s="811"/>
      <c r="R427" s="818"/>
    </row>
    <row r="428" spans="1:20" s="244" customFormat="1" ht="22.5" customHeight="1">
      <c r="A428" s="196" t="s">
        <v>1671</v>
      </c>
      <c r="B428" s="305">
        <v>763121811</v>
      </c>
      <c r="C428" s="306" t="s">
        <v>233</v>
      </c>
      <c r="D428" s="305" t="s">
        <v>46</v>
      </c>
      <c r="E428" s="404">
        <f>E427</f>
        <v>8</v>
      </c>
      <c r="F428" s="404"/>
      <c r="G428" s="200">
        <f>E428*F428</f>
        <v>0</v>
      </c>
      <c r="H428" s="243">
        <v>0</v>
      </c>
      <c r="I428" s="242">
        <f>E428*H428</f>
        <v>0</v>
      </c>
      <c r="J428" s="243">
        <v>0.01725</v>
      </c>
      <c r="K428" s="243">
        <f>E428*J428</f>
        <v>0.138</v>
      </c>
      <c r="L428" s="243"/>
      <c r="M428" s="243"/>
      <c r="N428" s="405"/>
      <c r="O428" s="796"/>
      <c r="P428" s="811"/>
      <c r="Q428" s="811"/>
      <c r="R428" s="847"/>
      <c r="S428" s="406"/>
      <c r="T428" s="406"/>
    </row>
    <row r="429" spans="1:20" s="204" customFormat="1" ht="29.25" customHeight="1">
      <c r="A429" s="196" t="s">
        <v>1672</v>
      </c>
      <c r="B429" s="197">
        <v>784191003</v>
      </c>
      <c r="C429" s="136" t="s">
        <v>1505</v>
      </c>
      <c r="D429" s="198" t="s">
        <v>46</v>
      </c>
      <c r="E429" s="199">
        <f>SUM(D430)</f>
        <v>140.0025</v>
      </c>
      <c r="F429" s="199"/>
      <c r="G429" s="200">
        <f>E429*F429</f>
        <v>0</v>
      </c>
      <c r="H429" s="201">
        <v>1E-05</v>
      </c>
      <c r="I429" s="201">
        <f>E429*H429</f>
        <v>0.001400025</v>
      </c>
      <c r="J429" s="85">
        <v>0</v>
      </c>
      <c r="K429" s="85">
        <f>E429*J429</f>
        <v>0</v>
      </c>
      <c r="L429" s="85"/>
      <c r="M429" s="85"/>
      <c r="N429" s="202"/>
      <c r="O429" s="203"/>
      <c r="P429" s="203"/>
      <c r="Q429" s="203"/>
      <c r="R429" s="203"/>
      <c r="S429" s="203"/>
      <c r="T429" s="203"/>
    </row>
    <row r="430" spans="1:14" s="595" customFormat="1" ht="17.25" customHeight="1">
      <c r="A430" s="683"/>
      <c r="B430" s="686"/>
      <c r="C430" s="687" t="s">
        <v>1829</v>
      </c>
      <c r="D430" s="685">
        <f>1.6*2.5+1.16*1.75+0.61*1.75+3.94*1.75+2.85*3+1.88*2*2+101.3+5.9*1.5-0.21</f>
        <v>140.0025</v>
      </c>
      <c r="E430" s="688"/>
      <c r="F430" s="688"/>
      <c r="G430" s="689"/>
      <c r="H430" s="593"/>
      <c r="I430" s="593"/>
      <c r="J430" s="593"/>
      <c r="K430" s="593"/>
      <c r="L430" s="593"/>
      <c r="M430" s="593"/>
      <c r="N430" s="594"/>
    </row>
    <row r="431" spans="1:20" s="204" customFormat="1" ht="29.25" customHeight="1">
      <c r="A431" s="196" t="s">
        <v>1723</v>
      </c>
      <c r="B431" s="197" t="s">
        <v>238</v>
      </c>
      <c r="C431" s="136" t="s">
        <v>239</v>
      </c>
      <c r="D431" s="198" t="s">
        <v>46</v>
      </c>
      <c r="E431" s="199">
        <v>89.9</v>
      </c>
      <c r="F431" s="199"/>
      <c r="G431" s="200">
        <f>E431*F431</f>
        <v>0</v>
      </c>
      <c r="H431" s="85">
        <v>0</v>
      </c>
      <c r="I431" s="85">
        <f>E431*H431</f>
        <v>0</v>
      </c>
      <c r="J431" s="201">
        <v>1E-05</v>
      </c>
      <c r="K431" s="201">
        <f>E431*J431</f>
        <v>0.0008990000000000002</v>
      </c>
      <c r="L431" s="85"/>
      <c r="M431" s="85"/>
      <c r="N431" s="202"/>
      <c r="O431" s="794"/>
      <c r="P431" s="806"/>
      <c r="Q431" s="806"/>
      <c r="R431" s="833"/>
      <c r="S431" s="266"/>
      <c r="T431" s="266"/>
    </row>
    <row r="432" spans="1:20" s="204" customFormat="1" ht="18.75" customHeight="1">
      <c r="A432" s="196" t="s">
        <v>1724</v>
      </c>
      <c r="B432" s="305" t="s">
        <v>1356</v>
      </c>
      <c r="C432" s="306" t="s">
        <v>242</v>
      </c>
      <c r="D432" s="305" t="s">
        <v>243</v>
      </c>
      <c r="E432" s="199">
        <v>80</v>
      </c>
      <c r="F432" s="199"/>
      <c r="G432" s="200">
        <f>E432*F432</f>
        <v>0</v>
      </c>
      <c r="H432" s="85"/>
      <c r="I432" s="85"/>
      <c r="J432" s="85"/>
      <c r="K432" s="201"/>
      <c r="L432" s="85"/>
      <c r="M432" s="85"/>
      <c r="N432" s="202"/>
      <c r="O432" s="794"/>
      <c r="P432" s="806"/>
      <c r="Q432" s="806"/>
      <c r="R432" s="808"/>
      <c r="S432" s="203"/>
      <c r="T432" s="203"/>
    </row>
    <row r="433" spans="1:20" s="204" customFormat="1" ht="32.25" customHeight="1">
      <c r="A433" s="196" t="s">
        <v>1881</v>
      </c>
      <c r="B433" s="197">
        <v>949101111</v>
      </c>
      <c r="C433" s="167" t="s">
        <v>245</v>
      </c>
      <c r="D433" s="197" t="s">
        <v>46</v>
      </c>
      <c r="E433" s="199">
        <v>85</v>
      </c>
      <c r="F433" s="199"/>
      <c r="G433" s="200">
        <f>E433*F433</f>
        <v>0</v>
      </c>
      <c r="H433" s="85"/>
      <c r="I433" s="85"/>
      <c r="J433" s="85"/>
      <c r="K433" s="201"/>
      <c r="L433" s="85"/>
      <c r="M433" s="85"/>
      <c r="N433" s="202"/>
      <c r="O433" s="794"/>
      <c r="P433" s="806"/>
      <c r="Q433" s="806"/>
      <c r="R433" s="808"/>
      <c r="S433" s="203"/>
      <c r="T433" s="203"/>
    </row>
    <row r="434" spans="1:20" s="328" customFormat="1" ht="15" customHeight="1">
      <c r="A434" s="572"/>
      <c r="B434" s="477"/>
      <c r="C434" s="306"/>
      <c r="D434" s="489"/>
      <c r="E434" s="490"/>
      <c r="F434" s="439"/>
      <c r="G434" s="573"/>
      <c r="H434" s="327"/>
      <c r="I434" s="327"/>
      <c r="J434" s="327"/>
      <c r="K434" s="327"/>
      <c r="L434" s="327"/>
      <c r="O434" s="793"/>
      <c r="P434" s="804"/>
      <c r="Q434" s="804"/>
      <c r="R434" s="805"/>
      <c r="S434" s="580"/>
      <c r="T434" s="580"/>
    </row>
    <row r="435" spans="1:20" s="267" customFormat="1" ht="12.75">
      <c r="A435" s="262"/>
      <c r="B435" s="253"/>
      <c r="C435" s="254" t="s">
        <v>1737</v>
      </c>
      <c r="D435" s="253"/>
      <c r="E435" s="256"/>
      <c r="F435" s="256"/>
      <c r="G435" s="460"/>
      <c r="H435" s="264"/>
      <c r="I435" s="264"/>
      <c r="J435" s="264"/>
      <c r="K435" s="264"/>
      <c r="L435" s="264"/>
      <c r="M435" s="264"/>
      <c r="N435" s="265"/>
      <c r="O435" s="794"/>
      <c r="P435" s="806"/>
      <c r="Q435" s="806"/>
      <c r="R435" s="808"/>
      <c r="S435" s="203"/>
      <c r="T435" s="203"/>
    </row>
    <row r="436" spans="1:20" s="204" customFormat="1" ht="29.25" customHeight="1">
      <c r="A436" s="196" t="s">
        <v>1882</v>
      </c>
      <c r="B436" s="197" t="s">
        <v>238</v>
      </c>
      <c r="C436" s="136" t="s">
        <v>239</v>
      </c>
      <c r="D436" s="198" t="s">
        <v>46</v>
      </c>
      <c r="E436" s="199">
        <v>23</v>
      </c>
      <c r="F436" s="199"/>
      <c r="G436" s="200">
        <f>E436*F436</f>
        <v>0</v>
      </c>
      <c r="H436" s="85">
        <v>0</v>
      </c>
      <c r="I436" s="85">
        <f>E436*H436</f>
        <v>0</v>
      </c>
      <c r="J436" s="201">
        <v>1E-05</v>
      </c>
      <c r="K436" s="201">
        <f>E436*J436</f>
        <v>0.00023</v>
      </c>
      <c r="L436" s="85"/>
      <c r="M436" s="85"/>
      <c r="N436" s="202"/>
      <c r="O436" s="794"/>
      <c r="P436" s="806"/>
      <c r="Q436" s="806"/>
      <c r="R436" s="833"/>
      <c r="S436" s="266"/>
      <c r="T436" s="266"/>
    </row>
    <row r="437" spans="1:20" s="204" customFormat="1" ht="18.75" customHeight="1">
      <c r="A437" s="196" t="s">
        <v>1883</v>
      </c>
      <c r="B437" s="305" t="s">
        <v>1356</v>
      </c>
      <c r="C437" s="306" t="s">
        <v>242</v>
      </c>
      <c r="D437" s="305" t="s">
        <v>243</v>
      </c>
      <c r="E437" s="199">
        <v>15</v>
      </c>
      <c r="F437" s="199"/>
      <c r="G437" s="200">
        <f>E437*F437</f>
        <v>0</v>
      </c>
      <c r="H437" s="85"/>
      <c r="I437" s="85"/>
      <c r="J437" s="85"/>
      <c r="K437" s="201"/>
      <c r="L437" s="85"/>
      <c r="M437" s="85"/>
      <c r="N437" s="202"/>
      <c r="O437" s="794"/>
      <c r="P437" s="806"/>
      <c r="Q437" s="806"/>
      <c r="R437" s="808"/>
      <c r="S437" s="203"/>
      <c r="T437" s="203"/>
    </row>
    <row r="438" spans="1:20" s="204" customFormat="1" ht="32.25" customHeight="1">
      <c r="A438" s="196" t="s">
        <v>1884</v>
      </c>
      <c r="B438" s="197">
        <v>949101111</v>
      </c>
      <c r="C438" s="167" t="s">
        <v>245</v>
      </c>
      <c r="D438" s="197" t="s">
        <v>46</v>
      </c>
      <c r="E438" s="199">
        <v>23</v>
      </c>
      <c r="F438" s="199"/>
      <c r="G438" s="200">
        <f>E438*F438</f>
        <v>0</v>
      </c>
      <c r="H438" s="85"/>
      <c r="I438" s="85"/>
      <c r="J438" s="85"/>
      <c r="K438" s="201"/>
      <c r="L438" s="85"/>
      <c r="M438" s="85"/>
      <c r="N438" s="202"/>
      <c r="O438" s="794"/>
      <c r="P438" s="806"/>
      <c r="Q438" s="806"/>
      <c r="R438" s="808"/>
      <c r="S438" s="203"/>
      <c r="T438" s="203"/>
    </row>
    <row r="439" spans="1:20" s="244" customFormat="1" ht="15" customHeight="1">
      <c r="A439" s="455"/>
      <c r="B439" s="477"/>
      <c r="C439" s="306"/>
      <c r="D439" s="305"/>
      <c r="E439" s="439"/>
      <c r="F439" s="439"/>
      <c r="G439" s="478"/>
      <c r="H439" s="241"/>
      <c r="I439" s="241"/>
      <c r="J439" s="241"/>
      <c r="K439" s="241"/>
      <c r="L439" s="241"/>
      <c r="O439" s="794"/>
      <c r="P439" s="806"/>
      <c r="Q439" s="806"/>
      <c r="R439" s="808"/>
      <c r="S439" s="203"/>
      <c r="T439" s="203"/>
    </row>
    <row r="440" spans="1:18" s="244" customFormat="1" ht="22">
      <c r="A440" s="750" t="s">
        <v>1885</v>
      </c>
      <c r="B440" s="778">
        <v>763121411</v>
      </c>
      <c r="C440" s="823" t="s">
        <v>231</v>
      </c>
      <c r="D440" s="736" t="s">
        <v>46</v>
      </c>
      <c r="E440" s="779">
        <v>18.5</v>
      </c>
      <c r="F440" s="779"/>
      <c r="G440" s="781">
        <f>E440*F440</f>
        <v>0</v>
      </c>
      <c r="H440" s="242">
        <v>0.011820000000000002</v>
      </c>
      <c r="I440" s="242">
        <f>E440*H440</f>
        <v>0.21867000000000003</v>
      </c>
      <c r="J440" s="243">
        <v>0</v>
      </c>
      <c r="K440" s="243">
        <f>E440*J440</f>
        <v>0</v>
      </c>
      <c r="L440" s="243"/>
      <c r="M440" s="243"/>
      <c r="N440" s="405"/>
      <c r="O440" s="796"/>
      <c r="P440" s="811"/>
      <c r="Q440" s="811"/>
      <c r="R440" s="818"/>
    </row>
    <row r="441" spans="1:20" s="244" customFormat="1" ht="22.5" customHeight="1">
      <c r="A441" s="750" t="s">
        <v>1886</v>
      </c>
      <c r="B441" s="778">
        <v>763121811</v>
      </c>
      <c r="C441" s="823" t="s">
        <v>233</v>
      </c>
      <c r="D441" s="778" t="s">
        <v>46</v>
      </c>
      <c r="E441" s="779">
        <f>E440</f>
        <v>18.5</v>
      </c>
      <c r="F441" s="779"/>
      <c r="G441" s="781">
        <f>E441*F441</f>
        <v>0</v>
      </c>
      <c r="H441" s="243">
        <v>0</v>
      </c>
      <c r="I441" s="242">
        <f>E441*H441</f>
        <v>0</v>
      </c>
      <c r="J441" s="243">
        <v>0.01725</v>
      </c>
      <c r="K441" s="243">
        <f>E441*J441</f>
        <v>0.31912500000000005</v>
      </c>
      <c r="L441" s="243"/>
      <c r="M441" s="243"/>
      <c r="N441" s="405"/>
      <c r="O441" s="796"/>
      <c r="P441" s="811"/>
      <c r="Q441" s="811"/>
      <c r="R441" s="847"/>
      <c r="S441" s="406"/>
      <c r="T441" s="406"/>
    </row>
    <row r="442" spans="1:18" s="204" customFormat="1" ht="12.75">
      <c r="A442" s="750"/>
      <c r="B442" s="851"/>
      <c r="C442" s="823"/>
      <c r="D442" s="778"/>
      <c r="E442" s="821"/>
      <c r="F442" s="821"/>
      <c r="G442" s="780"/>
      <c r="H442" s="481"/>
      <c r="I442" s="481"/>
      <c r="J442" s="481"/>
      <c r="K442" s="481"/>
      <c r="L442" s="481"/>
      <c r="O442" s="794"/>
      <c r="P442" s="806"/>
      <c r="Q442" s="806"/>
      <c r="R442" s="820"/>
    </row>
    <row r="443" spans="1:20" s="314" customFormat="1" ht="44.25" customHeight="1">
      <c r="A443" s="750" t="s">
        <v>1887</v>
      </c>
      <c r="B443" s="748"/>
      <c r="C443" s="852" t="s">
        <v>247</v>
      </c>
      <c r="D443" s="853"/>
      <c r="E443" s="854"/>
      <c r="F443" s="854"/>
      <c r="G443" s="855">
        <f>$E443*F443</f>
        <v>0</v>
      </c>
      <c r="H443" s="313"/>
      <c r="I443" s="313"/>
      <c r="J443" s="312"/>
      <c r="K443" s="312"/>
      <c r="L443" s="312"/>
      <c r="O443" s="794"/>
      <c r="P443" s="806"/>
      <c r="Q443" s="806"/>
      <c r="R443" s="820"/>
      <c r="S443" s="204"/>
      <c r="T443" s="204"/>
    </row>
    <row r="444" spans="1:20" ht="13" thickBot="1">
      <c r="A444" s="298"/>
      <c r="B444" s="153"/>
      <c r="C444" s="299"/>
      <c r="D444" s="153"/>
      <c r="E444" s="300"/>
      <c r="F444" s="301"/>
      <c r="G444" s="302"/>
      <c r="H444" s="77"/>
      <c r="I444" s="77"/>
      <c r="J444" s="77"/>
      <c r="K444" s="77"/>
      <c r="L444" s="77"/>
      <c r="M444" s="77"/>
      <c r="N444" s="78"/>
      <c r="O444" s="795"/>
      <c r="P444" s="810"/>
      <c r="Q444" s="810"/>
      <c r="R444" s="813"/>
      <c r="S444" s="723"/>
      <c r="T444" s="723"/>
    </row>
    <row r="445" spans="1:20" ht="13" thickBot="1">
      <c r="A445" s="225"/>
      <c r="B445" s="226"/>
      <c r="C445" s="227" t="s">
        <v>113</v>
      </c>
      <c r="D445" s="226"/>
      <c r="E445" s="303"/>
      <c r="F445" s="304"/>
      <c r="G445" s="230">
        <f>SUBTOTAL(9,G420:G444)</f>
        <v>0</v>
      </c>
      <c r="H445" s="77"/>
      <c r="I445" s="77"/>
      <c r="J445" s="77"/>
      <c r="K445" s="77"/>
      <c r="L445" s="77"/>
      <c r="M445" s="77"/>
      <c r="N445" s="78"/>
      <c r="R445" s="809"/>
      <c r="S445" s="79"/>
      <c r="T445" s="79"/>
    </row>
    <row r="446" spans="1:20" ht="13" thickBot="1">
      <c r="A446" s="179"/>
      <c r="B446" s="180"/>
      <c r="C446" s="180"/>
      <c r="D446" s="180"/>
      <c r="E446" s="180"/>
      <c r="F446" s="180"/>
      <c r="G446" s="181"/>
      <c r="H446" s="77"/>
      <c r="I446" s="77"/>
      <c r="J446" s="77"/>
      <c r="K446" s="77"/>
      <c r="L446" s="77"/>
      <c r="M446" s="77"/>
      <c r="N446" s="78"/>
      <c r="R446" s="809"/>
      <c r="S446" s="79"/>
      <c r="T446" s="79"/>
    </row>
    <row r="447" spans="1:7" ht="27.75" customHeight="1" thickBot="1">
      <c r="A447" s="453"/>
      <c r="B447" s="316"/>
      <c r="C447" s="317" t="s">
        <v>38</v>
      </c>
      <c r="D447" s="454"/>
      <c r="E447" s="454"/>
      <c r="F447" s="454"/>
      <c r="G447" s="319">
        <f>SUBTOTAL(9,G35:G446)</f>
        <v>0</v>
      </c>
    </row>
    <row r="449" spans="3:7" ht="12.75">
      <c r="C449" s="73"/>
      <c r="D449" s="75"/>
      <c r="E449" s="76"/>
      <c r="G449" s="321"/>
    </row>
    <row r="450" spans="3:7" ht="12.75">
      <c r="C450" s="73"/>
      <c r="D450" s="75"/>
      <c r="E450" s="76"/>
      <c r="G450" s="321"/>
    </row>
    <row r="451" spans="3:7" ht="12.75">
      <c r="C451" s="73"/>
      <c r="D451" s="75"/>
      <c r="E451" s="76"/>
      <c r="G451" s="321"/>
    </row>
    <row r="452" spans="3:7" ht="12.75">
      <c r="C452" s="73"/>
      <c r="D452" s="75"/>
      <c r="E452" s="76"/>
      <c r="G452" s="321"/>
    </row>
    <row r="453" spans="3:7" ht="12.75">
      <c r="C453" s="73"/>
      <c r="D453" s="75"/>
      <c r="E453" s="76"/>
      <c r="G453" s="321"/>
    </row>
    <row r="454" spans="1:62" s="480" customFormat="1" ht="12.75">
      <c r="A454" s="72"/>
      <c r="B454" s="73"/>
      <c r="C454" s="73"/>
      <c r="D454" s="75"/>
      <c r="E454" s="76"/>
      <c r="F454" s="76"/>
      <c r="G454" s="321"/>
      <c r="M454" s="80"/>
      <c r="N454" s="80"/>
      <c r="O454" s="791"/>
      <c r="P454" s="798"/>
      <c r="Q454" s="798"/>
      <c r="R454" s="799"/>
      <c r="S454" s="80"/>
      <c r="T454" s="80"/>
      <c r="U454" s="80"/>
      <c r="V454" s="80"/>
      <c r="W454" s="80"/>
      <c r="X454" s="80"/>
      <c r="Y454" s="80"/>
      <c r="Z454" s="80"/>
      <c r="AA454" s="80"/>
      <c r="AB454" s="80"/>
      <c r="AC454" s="80"/>
      <c r="AD454" s="80"/>
      <c r="AE454" s="80"/>
      <c r="AF454" s="80"/>
      <c r="AG454" s="80"/>
      <c r="AH454" s="80"/>
      <c r="AI454" s="80"/>
      <c r="AJ454" s="80"/>
      <c r="AK454" s="80"/>
      <c r="AL454" s="80"/>
      <c r="AM454" s="80"/>
      <c r="AN454" s="80"/>
      <c r="AO454" s="80"/>
      <c r="AP454" s="80"/>
      <c r="AQ454" s="80"/>
      <c r="AR454" s="80"/>
      <c r="AS454" s="80"/>
      <c r="AT454" s="80"/>
      <c r="AU454" s="80"/>
      <c r="AV454" s="80"/>
      <c r="AW454" s="80"/>
      <c r="AX454" s="80"/>
      <c r="AY454" s="80"/>
      <c r="AZ454" s="80"/>
      <c r="BA454" s="80"/>
      <c r="BB454" s="80"/>
      <c r="BC454" s="80"/>
      <c r="BD454" s="80"/>
      <c r="BE454" s="80"/>
      <c r="BF454" s="80"/>
      <c r="BG454" s="80"/>
      <c r="BH454" s="80"/>
      <c r="BI454" s="80"/>
      <c r="BJ454" s="80"/>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339"/>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322" customWidth="1"/>
    <col min="2" max="2" width="16.421875" style="323" customWidth="1"/>
    <col min="3" max="3" width="61.421875" style="324" customWidth="1"/>
    <col min="4" max="4" width="10.421875" style="323" customWidth="1"/>
    <col min="5" max="5" width="11.421875" style="325" customWidth="1"/>
    <col min="6" max="6" width="13.421875" style="326" customWidth="1"/>
    <col min="7" max="7" width="20.00390625" style="326" customWidth="1"/>
    <col min="8" max="8" width="10.28125" style="327" customWidth="1"/>
    <col min="9" max="9" width="16.140625" style="327" customWidth="1"/>
    <col min="10" max="10" width="11.421875" style="327" customWidth="1"/>
    <col min="11" max="11" width="10.8515625" style="327" customWidth="1"/>
    <col min="12" max="12" width="8.8515625" style="327" customWidth="1"/>
    <col min="13" max="16384" width="8.8515625" style="328" customWidth="1"/>
  </cols>
  <sheetData>
    <row r="1" spans="1:10" ht="60" customHeight="1">
      <c r="A1" s="329"/>
      <c r="B1" s="330" t="s">
        <v>16</v>
      </c>
      <c r="C1" s="2" t="s">
        <v>1</v>
      </c>
      <c r="D1" s="2"/>
      <c r="E1" s="84"/>
      <c r="F1" s="1415" t="s">
        <v>2</v>
      </c>
      <c r="G1" s="1415"/>
      <c r="J1" s="241"/>
    </row>
    <row r="2" spans="1:10" ht="54.5" customHeight="1">
      <c r="A2" s="331"/>
      <c r="B2" s="332" t="s">
        <v>3</v>
      </c>
      <c r="C2" s="6" t="s">
        <v>2172</v>
      </c>
      <c r="D2" s="6"/>
      <c r="E2" s="89"/>
      <c r="F2" s="1416"/>
      <c r="G2" s="1416"/>
      <c r="J2" s="241"/>
    </row>
    <row r="3" spans="1:7" ht="50" customHeight="1">
      <c r="A3" s="331"/>
      <c r="B3" s="332" t="s">
        <v>17</v>
      </c>
      <c r="C3" s="8" t="s">
        <v>1336</v>
      </c>
      <c r="D3" s="89"/>
      <c r="E3" s="89"/>
      <c r="F3" s="1417" t="s">
        <v>1647</v>
      </c>
      <c r="G3" s="1417"/>
    </row>
    <row r="4" spans="1:7" ht="60.75" customHeight="1" thickBot="1">
      <c r="A4" s="333"/>
      <c r="B4" s="334" t="s">
        <v>19</v>
      </c>
      <c r="C4" s="11" t="s">
        <v>1160</v>
      </c>
      <c r="D4" s="94"/>
      <c r="E4" s="94"/>
      <c r="F4" s="1418"/>
      <c r="G4" s="1418"/>
    </row>
    <row r="5" spans="1:10" ht="15" customHeight="1" thickBot="1">
      <c r="A5" s="335"/>
      <c r="B5" s="336"/>
      <c r="C5" s="337"/>
      <c r="D5" s="338"/>
      <c r="E5" s="339"/>
      <c r="F5" s="340"/>
      <c r="G5" s="341"/>
      <c r="J5" s="342"/>
    </row>
    <row r="6" spans="1:12" s="351" customFormat="1" ht="11">
      <c r="A6" s="343" t="s">
        <v>20</v>
      </c>
      <c r="B6" s="344" t="s">
        <v>21</v>
      </c>
      <c r="C6" s="345" t="s">
        <v>22</v>
      </c>
      <c r="D6" s="344" t="s">
        <v>23</v>
      </c>
      <c r="E6" s="346" t="s">
        <v>24</v>
      </c>
      <c r="F6" s="347" t="s">
        <v>25</v>
      </c>
      <c r="G6" s="348" t="s">
        <v>26</v>
      </c>
      <c r="H6" s="350"/>
      <c r="I6" s="350"/>
      <c r="J6" s="349"/>
      <c r="K6" s="350"/>
      <c r="L6" s="350"/>
    </row>
    <row r="7" spans="1:12" s="351" customFormat="1" ht="5.25" customHeight="1" thickBot="1">
      <c r="A7" s="352"/>
      <c r="B7" s="353"/>
      <c r="C7" s="354"/>
      <c r="D7" s="353"/>
      <c r="E7" s="355"/>
      <c r="F7" s="356"/>
      <c r="G7" s="357"/>
      <c r="H7" s="350"/>
      <c r="I7" s="350"/>
      <c r="J7" s="349"/>
      <c r="K7" s="350"/>
      <c r="L7" s="350"/>
    </row>
    <row r="8" spans="1:12" s="366" customFormat="1" ht="12.75">
      <c r="A8" s="358"/>
      <c r="B8" s="359"/>
      <c r="C8" s="360"/>
      <c r="D8" s="360"/>
      <c r="E8" s="361"/>
      <c r="F8" s="362"/>
      <c r="G8" s="363"/>
      <c r="H8" s="365"/>
      <c r="I8" s="365"/>
      <c r="J8" s="364"/>
      <c r="K8" s="365"/>
      <c r="L8" s="365"/>
    </row>
    <row r="9" spans="1:12" s="375" customFormat="1" ht="12.75">
      <c r="A9" s="367"/>
      <c r="B9" s="368"/>
      <c r="C9" s="369" t="s">
        <v>27</v>
      </c>
      <c r="D9" s="368"/>
      <c r="E9" s="370"/>
      <c r="F9" s="371"/>
      <c r="G9" s="372"/>
      <c r="H9" s="374"/>
      <c r="I9" s="374"/>
      <c r="J9" s="373"/>
      <c r="K9" s="374"/>
      <c r="L9" s="374"/>
    </row>
    <row r="10" spans="1:7" ht="56.25" customHeight="1" hidden="1">
      <c r="A10" s="376"/>
      <c r="B10" s="377"/>
      <c r="C10" s="294" t="s">
        <v>248</v>
      </c>
      <c r="D10" s="377"/>
      <c r="E10" s="378"/>
      <c r="F10" s="379"/>
      <c r="G10" s="380"/>
    </row>
    <row r="11" spans="1:7" ht="35.25" customHeight="1" hidden="1">
      <c r="A11" s="376"/>
      <c r="B11" s="377"/>
      <c r="C11" s="294" t="s">
        <v>249</v>
      </c>
      <c r="D11" s="377"/>
      <c r="E11" s="378"/>
      <c r="F11" s="379"/>
      <c r="G11" s="380"/>
    </row>
    <row r="12" spans="1:7" ht="30.75" customHeight="1" hidden="1">
      <c r="A12" s="376"/>
      <c r="B12" s="377"/>
      <c r="C12" s="294" t="s">
        <v>250</v>
      </c>
      <c r="D12" s="377"/>
      <c r="E12" s="378"/>
      <c r="F12" s="379"/>
      <c r="G12" s="380"/>
    </row>
    <row r="13" spans="1:7" ht="66" customHeight="1" hidden="1">
      <c r="A13" s="381"/>
      <c r="B13" s="382"/>
      <c r="C13" s="383" t="s">
        <v>251</v>
      </c>
      <c r="D13" s="382"/>
      <c r="E13" s="384"/>
      <c r="F13" s="385"/>
      <c r="G13" s="386"/>
    </row>
    <row r="14" spans="1:7" ht="63" customHeight="1" hidden="1">
      <c r="A14" s="387"/>
      <c r="B14" s="388"/>
      <c r="C14" s="389" t="s">
        <v>32</v>
      </c>
      <c r="D14" s="388"/>
      <c r="E14" s="390"/>
      <c r="F14" s="391"/>
      <c r="G14" s="392"/>
    </row>
    <row r="15" spans="1:7" ht="29.25" customHeight="1" hidden="1">
      <c r="A15" s="376"/>
      <c r="B15" s="377"/>
      <c r="C15" s="393" t="s">
        <v>252</v>
      </c>
      <c r="D15" s="377"/>
      <c r="E15" s="378"/>
      <c r="F15" s="379"/>
      <c r="G15" s="380"/>
    </row>
    <row r="16" spans="1:7" ht="36.75" customHeight="1" hidden="1">
      <c r="A16" s="376"/>
      <c r="B16" s="377"/>
      <c r="C16" s="393" t="s">
        <v>253</v>
      </c>
      <c r="D16" s="377"/>
      <c r="E16" s="378"/>
      <c r="F16" s="379"/>
      <c r="G16" s="380"/>
    </row>
    <row r="17" spans="1:7" ht="43.5" customHeight="1" hidden="1">
      <c r="A17" s="376"/>
      <c r="B17" s="377"/>
      <c r="C17" s="393" t="s">
        <v>254</v>
      </c>
      <c r="D17" s="377"/>
      <c r="E17" s="378"/>
      <c r="F17" s="379"/>
      <c r="G17" s="380"/>
    </row>
    <row r="18" spans="1:12" s="375" customFormat="1" ht="12.75">
      <c r="A18" s="367"/>
      <c r="B18" s="368"/>
      <c r="C18" s="151"/>
      <c r="D18" s="368"/>
      <c r="E18" s="370"/>
      <c r="F18" s="371"/>
      <c r="G18" s="372"/>
      <c r="H18" s="374"/>
      <c r="I18" s="374"/>
      <c r="J18" s="373"/>
      <c r="K18" s="374"/>
      <c r="L18" s="374"/>
    </row>
    <row r="19" spans="1:12" s="366" customFormat="1" ht="33" customHeight="1">
      <c r="A19" s="152"/>
      <c r="B19" s="153"/>
      <c r="C19" s="154" t="s">
        <v>36</v>
      </c>
      <c r="D19" s="153"/>
      <c r="E19" s="155"/>
      <c r="F19" s="156"/>
      <c r="G19" s="157"/>
      <c r="H19" s="365"/>
      <c r="I19" s="365"/>
      <c r="J19" s="364"/>
      <c r="K19" s="365"/>
      <c r="L19" s="365"/>
    </row>
    <row r="20" spans="1:12" s="366" customFormat="1" ht="22">
      <c r="A20" s="152"/>
      <c r="B20" s="153"/>
      <c r="C20" s="158" t="s">
        <v>37</v>
      </c>
      <c r="D20" s="153"/>
      <c r="E20" s="155"/>
      <c r="F20" s="156"/>
      <c r="G20" s="394"/>
      <c r="H20" s="365"/>
      <c r="I20" s="365"/>
      <c r="J20" s="364"/>
      <c r="K20" s="365"/>
      <c r="L20" s="365"/>
    </row>
    <row r="21" spans="1:12" s="366" customFormat="1" ht="17.75" customHeight="1">
      <c r="A21" s="160" t="str">
        <f>A35</f>
        <v>1</v>
      </c>
      <c r="B21" s="161"/>
      <c r="C21" s="162" t="str">
        <f>C35</f>
        <v>Bourací  práce</v>
      </c>
      <c r="D21" s="164"/>
      <c r="E21" s="164"/>
      <c r="F21" s="165"/>
      <c r="G21" s="395">
        <f>G82</f>
        <v>0</v>
      </c>
      <c r="H21" s="365"/>
      <c r="I21" s="365"/>
      <c r="J21" s="364"/>
      <c r="K21" s="365"/>
      <c r="L21" s="365"/>
    </row>
    <row r="22" spans="1:12" s="366" customFormat="1" ht="17.75" customHeight="1">
      <c r="A22" s="742" t="str">
        <f>A84</f>
        <v>2</v>
      </c>
      <c r="B22" s="743"/>
      <c r="C22" s="744" t="str">
        <f>C84</f>
        <v>Svislé konstrukce</v>
      </c>
      <c r="D22" s="745"/>
      <c r="E22" s="745"/>
      <c r="F22" s="746"/>
      <c r="G22" s="747">
        <f>G103</f>
        <v>0</v>
      </c>
      <c r="H22" s="365"/>
      <c r="I22" s="365"/>
      <c r="J22" s="364"/>
      <c r="K22" s="365"/>
      <c r="L22" s="365"/>
    </row>
    <row r="23" spans="1:12" s="366" customFormat="1" ht="17.75" customHeight="1">
      <c r="A23" s="742" t="str">
        <f>A105</f>
        <v>3</v>
      </c>
      <c r="B23" s="743"/>
      <c r="C23" s="744" t="str">
        <f>C105</f>
        <v>Vodorovné konstrukce</v>
      </c>
      <c r="D23" s="745"/>
      <c r="E23" s="745"/>
      <c r="F23" s="746"/>
      <c r="G23" s="747">
        <f>G111</f>
        <v>0</v>
      </c>
      <c r="H23" s="365"/>
      <c r="I23" s="365"/>
      <c r="J23" s="364"/>
      <c r="K23" s="365"/>
      <c r="L23" s="365"/>
    </row>
    <row r="24" spans="1:12" s="366" customFormat="1" ht="17.75" customHeight="1">
      <c r="A24" s="160" t="str">
        <f>A113</f>
        <v>4</v>
      </c>
      <c r="B24" s="161"/>
      <c r="C24" s="162" t="str">
        <f>C113</f>
        <v xml:space="preserve">Úpravy povrchů </v>
      </c>
      <c r="D24" s="164"/>
      <c r="E24" s="164"/>
      <c r="F24" s="165"/>
      <c r="G24" s="395">
        <f>G218</f>
        <v>0</v>
      </c>
      <c r="H24" s="365"/>
      <c r="I24" s="365"/>
      <c r="J24" s="364"/>
      <c r="K24" s="365"/>
      <c r="L24" s="365"/>
    </row>
    <row r="25" spans="1:12" s="366" customFormat="1" ht="17.75" customHeight="1">
      <c r="A25" s="160" t="str">
        <f>A220</f>
        <v>5</v>
      </c>
      <c r="B25" s="161"/>
      <c r="C25" s="162" t="str">
        <f>C220</f>
        <v>Osazování výplní</v>
      </c>
      <c r="D25" s="164"/>
      <c r="E25" s="164"/>
      <c r="F25" s="165"/>
      <c r="G25" s="395">
        <f>G237</f>
        <v>0</v>
      </c>
      <c r="H25" s="365"/>
      <c r="I25" s="365"/>
      <c r="J25" s="364"/>
      <c r="K25" s="365"/>
      <c r="L25" s="365"/>
    </row>
    <row r="26" spans="1:12" s="366" customFormat="1" ht="17.75" customHeight="1">
      <c r="A26" s="160" t="str">
        <f>A239</f>
        <v>6</v>
      </c>
      <c r="B26" s="161"/>
      <c r="C26" s="162" t="str">
        <f>C239</f>
        <v>Konstrukce tesařské</v>
      </c>
      <c r="D26" s="164"/>
      <c r="E26" s="164"/>
      <c r="F26" s="165"/>
      <c r="G26" s="395">
        <f>G245</f>
        <v>0</v>
      </c>
      <c r="H26" s="365"/>
      <c r="I26" s="365"/>
      <c r="J26" s="364"/>
      <c r="K26" s="365"/>
      <c r="L26" s="365"/>
    </row>
    <row r="27" spans="1:12" s="366" customFormat="1" ht="17.75" customHeight="1">
      <c r="A27" s="160" t="str">
        <f>A247</f>
        <v>7</v>
      </c>
      <c r="B27" s="161"/>
      <c r="C27" s="162" t="str">
        <f>C247</f>
        <v>Podlahy skládané</v>
      </c>
      <c r="D27" s="164"/>
      <c r="E27" s="164"/>
      <c r="F27" s="165"/>
      <c r="G27" s="395">
        <f>G268</f>
        <v>0</v>
      </c>
      <c r="H27" s="365"/>
      <c r="I27" s="365"/>
      <c r="J27" s="364"/>
      <c r="K27" s="365"/>
      <c r="L27" s="365"/>
    </row>
    <row r="28" spans="1:12" s="366" customFormat="1" ht="17.75" customHeight="1">
      <c r="A28" s="160" t="str">
        <f>A270</f>
        <v>8</v>
      </c>
      <c r="B28" s="161"/>
      <c r="C28" s="162" t="str">
        <f>C270</f>
        <v>Podlahy povlakové</v>
      </c>
      <c r="D28" s="164"/>
      <c r="E28" s="164"/>
      <c r="F28" s="165"/>
      <c r="G28" s="395">
        <f>G285</f>
        <v>0</v>
      </c>
      <c r="H28" s="365"/>
      <c r="I28" s="365"/>
      <c r="J28" s="364"/>
      <c r="K28" s="365"/>
      <c r="L28" s="365"/>
    </row>
    <row r="29" spans="1:12" s="366" customFormat="1" ht="17.75" customHeight="1">
      <c r="A29" s="160" t="str">
        <f>A287</f>
        <v>9</v>
      </c>
      <c r="B29" s="161"/>
      <c r="C29" s="162" t="str">
        <f>C287</f>
        <v>Malby</v>
      </c>
      <c r="D29" s="164"/>
      <c r="E29" s="164"/>
      <c r="F29" s="165"/>
      <c r="G29" s="395">
        <f>G309</f>
        <v>0</v>
      </c>
      <c r="H29" s="365"/>
      <c r="I29" s="365"/>
      <c r="J29" s="364"/>
      <c r="K29" s="365"/>
      <c r="L29" s="365"/>
    </row>
    <row r="30" spans="1:12" s="366" customFormat="1" ht="17.75" customHeight="1">
      <c r="A30" s="160" t="str">
        <f>A311</f>
        <v>10</v>
      </c>
      <c r="B30" s="161"/>
      <c r="C30" s="162" t="str">
        <f>C311</f>
        <v>Ostatní  práce a dodávky</v>
      </c>
      <c r="D30" s="164"/>
      <c r="E30" s="164"/>
      <c r="F30" s="165"/>
      <c r="G30" s="395">
        <f>G324</f>
        <v>0</v>
      </c>
      <c r="H30" s="365"/>
      <c r="I30" s="365"/>
      <c r="J30" s="364"/>
      <c r="K30" s="365"/>
      <c r="L30" s="365"/>
    </row>
    <row r="31" spans="1:7" ht="18" customHeight="1">
      <c r="A31" s="160" t="str">
        <f>A326</f>
        <v>A</v>
      </c>
      <c r="B31" s="161"/>
      <c r="C31" s="162" t="str">
        <f>C326</f>
        <v xml:space="preserve">Ostatní </v>
      </c>
      <c r="D31" s="164"/>
      <c r="E31" s="164"/>
      <c r="F31" s="165"/>
      <c r="G31" s="395">
        <f>G330</f>
        <v>0</v>
      </c>
    </row>
    <row r="32" spans="1:7" ht="13" thickBot="1">
      <c r="A32" s="160"/>
      <c r="B32" s="153"/>
      <c r="C32" s="167"/>
      <c r="D32" s="153"/>
      <c r="E32" s="168"/>
      <c r="F32" s="156"/>
      <c r="G32" s="395"/>
    </row>
    <row r="33" spans="1:7" ht="21" customHeight="1" thickBot="1">
      <c r="A33" s="170"/>
      <c r="B33" s="171"/>
      <c r="C33" s="172" t="s">
        <v>38</v>
      </c>
      <c r="D33" s="175"/>
      <c r="E33" s="174"/>
      <c r="F33" s="175"/>
      <c r="G33" s="176">
        <f>SUM(G21:G31)</f>
        <v>0</v>
      </c>
    </row>
    <row r="34" spans="1:7" ht="13" thickBot="1">
      <c r="A34" s="179"/>
      <c r="B34" s="180"/>
      <c r="C34" s="180"/>
      <c r="D34" s="180"/>
      <c r="E34" s="180"/>
      <c r="F34" s="180"/>
      <c r="G34" s="396"/>
    </row>
    <row r="35" spans="1:12" s="366" customFormat="1" ht="18" customHeight="1" thickBot="1">
      <c r="A35" s="182" t="s">
        <v>43</v>
      </c>
      <c r="B35" s="183"/>
      <c r="C35" s="184" t="s">
        <v>255</v>
      </c>
      <c r="D35" s="397"/>
      <c r="E35" s="398"/>
      <c r="F35" s="187"/>
      <c r="G35" s="399"/>
      <c r="H35" s="365"/>
      <c r="I35" s="365"/>
      <c r="J35" s="364"/>
      <c r="K35" s="365"/>
      <c r="L35" s="365"/>
    </row>
    <row r="36" spans="1:12" s="366" customFormat="1" ht="12.75" customHeight="1">
      <c r="A36" s="189"/>
      <c r="B36" s="400"/>
      <c r="C36" s="232"/>
      <c r="D36" s="233"/>
      <c r="E36" s="401"/>
      <c r="F36" s="402"/>
      <c r="G36" s="403"/>
      <c r="H36" s="365"/>
      <c r="I36" s="365"/>
      <c r="J36" s="364"/>
      <c r="K36" s="365"/>
      <c r="L36" s="365"/>
    </row>
    <row r="37" spans="1:12" s="244" customFormat="1" ht="24.75" customHeight="1">
      <c r="A37" s="196" t="s">
        <v>45</v>
      </c>
      <c r="B37" s="197" t="s">
        <v>256</v>
      </c>
      <c r="C37" s="294" t="s">
        <v>292</v>
      </c>
      <c r="D37" s="295" t="s">
        <v>161</v>
      </c>
      <c r="E37" s="296">
        <v>1</v>
      </c>
      <c r="F37" s="296"/>
      <c r="G37" s="240">
        <f>$E37*F37</f>
        <v>0</v>
      </c>
      <c r="H37" s="241"/>
      <c r="I37" s="241"/>
      <c r="J37" s="242"/>
      <c r="K37" s="241"/>
      <c r="L37" s="241"/>
    </row>
    <row r="38" spans="1:12" s="251" customFormat="1" ht="10.5" customHeight="1">
      <c r="A38" s="196"/>
      <c r="B38" s="205"/>
      <c r="C38" s="245"/>
      <c r="D38" s="246"/>
      <c r="E38" s="247"/>
      <c r="F38" s="247"/>
      <c r="G38" s="248"/>
      <c r="H38" s="250"/>
      <c r="I38" s="250"/>
      <c r="J38" s="249"/>
      <c r="K38" s="250"/>
      <c r="L38" s="250"/>
    </row>
    <row r="39" spans="1:12" s="863" customFormat="1" ht="22.5" customHeight="1">
      <c r="A39" s="196" t="s">
        <v>47</v>
      </c>
      <c r="B39" s="305">
        <v>971033651</v>
      </c>
      <c r="C39" s="306" t="s">
        <v>1132</v>
      </c>
      <c r="D39" s="305" t="s">
        <v>52</v>
      </c>
      <c r="E39" s="439">
        <f>D40</f>
        <v>5.8950000000000005</v>
      </c>
      <c r="F39" s="439"/>
      <c r="G39" s="200">
        <f aca="true" t="shared" si="0" ref="G39:G46">E39*F39</f>
        <v>0</v>
      </c>
      <c r="H39" s="85">
        <v>0</v>
      </c>
      <c r="I39" s="85">
        <f>E39*H39</f>
        <v>0</v>
      </c>
      <c r="J39" s="860">
        <v>1.8</v>
      </c>
      <c r="K39" s="861">
        <f>E39*J39</f>
        <v>10.611</v>
      </c>
      <c r="L39" s="862"/>
    </row>
    <row r="40" spans="1:20" s="596" customFormat="1" ht="21.75" customHeight="1">
      <c r="A40" s="196"/>
      <c r="B40" s="837" t="s">
        <v>1133</v>
      </c>
      <c r="C40" s="838" t="s">
        <v>1134</v>
      </c>
      <c r="D40" s="839">
        <f>0.7*1.55*0.45*10+1.5*0.15*0.45*10</f>
        <v>5.8950000000000005</v>
      </c>
      <c r="E40" s="840"/>
      <c r="F40" s="841"/>
      <c r="G40" s="842"/>
      <c r="H40" s="593"/>
      <c r="I40" s="593"/>
      <c r="J40" s="592"/>
      <c r="K40" s="592"/>
      <c r="L40" s="593"/>
      <c r="M40" s="593"/>
      <c r="N40" s="594"/>
      <c r="O40" s="595"/>
      <c r="P40" s="595"/>
      <c r="Q40" s="595"/>
      <c r="R40" s="595"/>
      <c r="S40" s="595"/>
      <c r="T40" s="595"/>
    </row>
    <row r="41" spans="1:12" s="863" customFormat="1" ht="30.75" customHeight="1">
      <c r="A41" s="196" t="s">
        <v>50</v>
      </c>
      <c r="B41" s="305">
        <v>962032230</v>
      </c>
      <c r="C41" s="306" t="s">
        <v>1890</v>
      </c>
      <c r="D41" s="305" t="s">
        <v>52</v>
      </c>
      <c r="E41" s="439">
        <f>SUM(D42:D44)</f>
        <v>5.1416249999999994</v>
      </c>
      <c r="F41" s="439"/>
      <c r="G41" s="200">
        <f t="shared" si="0"/>
        <v>0</v>
      </c>
      <c r="H41" s="85">
        <v>0</v>
      </c>
      <c r="I41" s="85">
        <f>E41*H41</f>
        <v>0</v>
      </c>
      <c r="J41" s="860">
        <v>1.8</v>
      </c>
      <c r="K41" s="861">
        <f>E41*J41</f>
        <v>9.254925</v>
      </c>
      <c r="L41" s="862"/>
    </row>
    <row r="42" spans="1:20" s="596" customFormat="1" ht="21.75" customHeight="1">
      <c r="A42" s="591"/>
      <c r="B42" s="837" t="s">
        <v>1894</v>
      </c>
      <c r="C42" s="838" t="s">
        <v>1893</v>
      </c>
      <c r="D42" s="839">
        <f>1.4*0.8*0.2*8+0.01</f>
        <v>1.8019999999999998</v>
      </c>
      <c r="E42" s="840"/>
      <c r="F42" s="841"/>
      <c r="G42" s="842"/>
      <c r="H42" s="593"/>
      <c r="I42" s="593"/>
      <c r="J42" s="592"/>
      <c r="K42" s="592"/>
      <c r="L42" s="593"/>
      <c r="M42" s="593"/>
      <c r="N42" s="594"/>
      <c r="O42" s="595"/>
      <c r="P42" s="595"/>
      <c r="Q42" s="595"/>
      <c r="R42" s="595"/>
      <c r="S42" s="595"/>
      <c r="T42" s="595"/>
    </row>
    <row r="43" spans="1:20" s="596" customFormat="1" ht="21.75" customHeight="1">
      <c r="A43" s="601"/>
      <c r="B43" s="686" t="s">
        <v>1904</v>
      </c>
      <c r="C43" s="872" t="s">
        <v>1896</v>
      </c>
      <c r="D43" s="873">
        <f>0.65*0.25*0.6*2+0.7*2*0.6+1.7*2*0.5+1.5*0.7*0.2</f>
        <v>2.945</v>
      </c>
      <c r="E43" s="874"/>
      <c r="F43" s="875"/>
      <c r="G43" s="761"/>
      <c r="H43" s="593"/>
      <c r="I43" s="593"/>
      <c r="J43" s="592"/>
      <c r="K43" s="592"/>
      <c r="L43" s="593"/>
      <c r="M43" s="593"/>
      <c r="N43" s="594"/>
      <c r="O43" s="595"/>
      <c r="P43" s="595"/>
      <c r="Q43" s="595"/>
      <c r="R43" s="595"/>
      <c r="S43" s="595"/>
      <c r="T43" s="595"/>
    </row>
    <row r="44" spans="1:20" s="596" customFormat="1" ht="21.75" customHeight="1">
      <c r="A44" s="601"/>
      <c r="B44" s="686" t="s">
        <v>1903</v>
      </c>
      <c r="C44" s="872" t="s">
        <v>1906</v>
      </c>
      <c r="D44" s="873">
        <f>1.4*0.35*0.55+0.65*0.35*0.55</f>
        <v>0.39462499999999995</v>
      </c>
      <c r="E44" s="874"/>
      <c r="F44" s="875"/>
      <c r="G44" s="761"/>
      <c r="H44" s="593"/>
      <c r="I44" s="593"/>
      <c r="J44" s="592"/>
      <c r="K44" s="592"/>
      <c r="L44" s="593"/>
      <c r="M44" s="593"/>
      <c r="N44" s="594"/>
      <c r="O44" s="595"/>
      <c r="P44" s="595"/>
      <c r="Q44" s="595"/>
      <c r="R44" s="595"/>
      <c r="S44" s="595"/>
      <c r="T44" s="595"/>
    </row>
    <row r="45" spans="1:12" s="863" customFormat="1" ht="23.25" customHeight="1">
      <c r="A45" s="196" t="s">
        <v>53</v>
      </c>
      <c r="B45" s="305">
        <v>751398821</v>
      </c>
      <c r="C45" s="306" t="s">
        <v>1891</v>
      </c>
      <c r="D45" s="305" t="s">
        <v>175</v>
      </c>
      <c r="E45" s="439">
        <v>3</v>
      </c>
      <c r="F45" s="439"/>
      <c r="G45" s="200">
        <f t="shared" si="0"/>
        <v>0</v>
      </c>
      <c r="H45" s="85">
        <v>0</v>
      </c>
      <c r="I45" s="85">
        <f>E45*H45</f>
        <v>0</v>
      </c>
      <c r="J45" s="860">
        <v>5E-05</v>
      </c>
      <c r="K45" s="861">
        <f>E45*J45</f>
        <v>0.00015000000000000001</v>
      </c>
      <c r="L45" s="862"/>
    </row>
    <row r="46" spans="1:12" s="863" customFormat="1" ht="23.25" customHeight="1">
      <c r="A46" s="196" t="s">
        <v>56</v>
      </c>
      <c r="B46" s="305">
        <v>751398815</v>
      </c>
      <c r="C46" s="306" t="s">
        <v>1895</v>
      </c>
      <c r="D46" s="305" t="s">
        <v>175</v>
      </c>
      <c r="E46" s="439">
        <v>1</v>
      </c>
      <c r="F46" s="439"/>
      <c r="G46" s="200">
        <f t="shared" si="0"/>
        <v>0</v>
      </c>
      <c r="H46" s="85">
        <v>0</v>
      </c>
      <c r="I46" s="85">
        <f>E46*H46</f>
        <v>0</v>
      </c>
      <c r="J46" s="860">
        <v>0.0025</v>
      </c>
      <c r="K46" s="861">
        <f>E46*J46</f>
        <v>0.0025</v>
      </c>
      <c r="L46" s="862"/>
    </row>
    <row r="47" spans="1:20" s="244" customFormat="1" ht="19.5" customHeight="1">
      <c r="A47" s="196" t="s">
        <v>58</v>
      </c>
      <c r="B47" s="197">
        <v>766411811</v>
      </c>
      <c r="C47" s="294" t="s">
        <v>1898</v>
      </c>
      <c r="D47" s="295" t="s">
        <v>46</v>
      </c>
      <c r="E47" s="404">
        <f>SUM(D48)</f>
        <v>76.9975</v>
      </c>
      <c r="F47" s="404"/>
      <c r="G47" s="200">
        <f>E47*F47</f>
        <v>0</v>
      </c>
      <c r="H47" s="242">
        <v>0</v>
      </c>
      <c r="I47" s="242">
        <f>E47*H47</f>
        <v>0</v>
      </c>
      <c r="J47" s="243">
        <v>0.02465</v>
      </c>
      <c r="K47" s="769">
        <f>E47*J47</f>
        <v>1.897988375</v>
      </c>
      <c r="L47" s="243"/>
      <c r="M47" s="243"/>
      <c r="N47" s="405"/>
      <c r="O47" s="406"/>
      <c r="P47" s="406"/>
      <c r="Q47" s="406"/>
      <c r="R47" s="406"/>
      <c r="S47" s="406"/>
      <c r="T47" s="406"/>
    </row>
    <row r="48" spans="1:12" s="251" customFormat="1" ht="35.25" customHeight="1">
      <c r="A48" s="196"/>
      <c r="B48" s="205" t="s">
        <v>1897</v>
      </c>
      <c r="C48" s="245" t="s">
        <v>1892</v>
      </c>
      <c r="D48" s="839">
        <f>(3.9+1.3+8.1+1.3+4.3+2.625*4+2.3+1.1+1.3+1.2*2+1.3+0.945+2.3+2.6*2+2.7+0.9+1.5)*1.5-0.02</f>
        <v>76.9975</v>
      </c>
      <c r="E48" s="247"/>
      <c r="F48" s="247"/>
      <c r="G48" s="248"/>
      <c r="H48" s="249"/>
      <c r="I48" s="250"/>
      <c r="J48" s="250"/>
      <c r="K48" s="724"/>
      <c r="L48" s="250"/>
    </row>
    <row r="49" spans="1:20" s="244" customFormat="1" ht="19.5" customHeight="1">
      <c r="A49" s="196" t="s">
        <v>61</v>
      </c>
      <c r="B49" s="197">
        <v>766411822</v>
      </c>
      <c r="C49" s="294" t="s">
        <v>1901</v>
      </c>
      <c r="D49" s="295" t="s">
        <v>46</v>
      </c>
      <c r="E49" s="404">
        <f>E47</f>
        <v>76.9975</v>
      </c>
      <c r="F49" s="404"/>
      <c r="G49" s="200">
        <f>E49*F49</f>
        <v>0</v>
      </c>
      <c r="H49" s="242">
        <v>0</v>
      </c>
      <c r="I49" s="242">
        <f>E49*H49</f>
        <v>0</v>
      </c>
      <c r="J49" s="243">
        <v>0.008</v>
      </c>
      <c r="K49" s="769">
        <f>E49*J49</f>
        <v>0.6159800000000001</v>
      </c>
      <c r="L49" s="243"/>
      <c r="M49" s="243"/>
      <c r="N49" s="405"/>
      <c r="O49" s="406"/>
      <c r="P49" s="406"/>
      <c r="Q49" s="406"/>
      <c r="R49" s="406"/>
      <c r="S49" s="406"/>
      <c r="T49" s="406"/>
    </row>
    <row r="50" spans="1:20" s="244" customFormat="1" ht="19.5" customHeight="1">
      <c r="A50" s="196" t="s">
        <v>63</v>
      </c>
      <c r="B50" s="197">
        <v>766431811</v>
      </c>
      <c r="C50" s="294" t="s">
        <v>1899</v>
      </c>
      <c r="D50" s="295" t="s">
        <v>46</v>
      </c>
      <c r="E50" s="404">
        <f>SUM(D51)</f>
        <v>28.799999999999997</v>
      </c>
      <c r="F50" s="404"/>
      <c r="G50" s="200">
        <f>E50*F50</f>
        <v>0</v>
      </c>
      <c r="H50" s="242">
        <v>0</v>
      </c>
      <c r="I50" s="242">
        <f>E50*H50</f>
        <v>0</v>
      </c>
      <c r="J50" s="243">
        <v>0.02465</v>
      </c>
      <c r="K50" s="769">
        <f>E50*J50</f>
        <v>0.7099199999999999</v>
      </c>
      <c r="L50" s="243"/>
      <c r="M50" s="243"/>
      <c r="N50" s="405"/>
      <c r="O50" s="406"/>
      <c r="P50" s="406"/>
      <c r="Q50" s="406"/>
      <c r="R50" s="406"/>
      <c r="S50" s="406"/>
      <c r="T50" s="406"/>
    </row>
    <row r="51" spans="1:20" s="596" customFormat="1" ht="21.75" customHeight="1">
      <c r="A51" s="591"/>
      <c r="B51" s="837"/>
      <c r="C51" s="838" t="s">
        <v>1902</v>
      </c>
      <c r="D51" s="839">
        <f>0.6*4*1.5*8</f>
        <v>28.799999999999997</v>
      </c>
      <c r="E51" s="840"/>
      <c r="F51" s="841"/>
      <c r="G51" s="842"/>
      <c r="H51" s="593"/>
      <c r="I51" s="593"/>
      <c r="J51" s="592"/>
      <c r="K51" s="592"/>
      <c r="L51" s="593"/>
      <c r="M51" s="593"/>
      <c r="N51" s="594"/>
      <c r="O51" s="595"/>
      <c r="P51" s="595"/>
      <c r="Q51" s="595"/>
      <c r="R51" s="595"/>
      <c r="S51" s="595"/>
      <c r="T51" s="595"/>
    </row>
    <row r="52" spans="1:20" s="244" customFormat="1" ht="19.5" customHeight="1">
      <c r="A52" s="196" t="s">
        <v>64</v>
      </c>
      <c r="B52" s="197">
        <v>766431822</v>
      </c>
      <c r="C52" s="294" t="s">
        <v>1900</v>
      </c>
      <c r="D52" s="295" t="s">
        <v>46</v>
      </c>
      <c r="E52" s="404">
        <f>E50</f>
        <v>28.799999999999997</v>
      </c>
      <c r="F52" s="404"/>
      <c r="G52" s="200">
        <f>E52*F52</f>
        <v>0</v>
      </c>
      <c r="H52" s="242">
        <v>0</v>
      </c>
      <c r="I52" s="242">
        <f>E52*H52</f>
        <v>0</v>
      </c>
      <c r="J52" s="243">
        <v>0.008</v>
      </c>
      <c r="K52" s="769">
        <f>E52*J52</f>
        <v>0.2304</v>
      </c>
      <c r="L52" s="243"/>
      <c r="M52" s="243"/>
      <c r="N52" s="405"/>
      <c r="O52" s="406"/>
      <c r="P52" s="406"/>
      <c r="Q52" s="406"/>
      <c r="R52" s="406"/>
      <c r="S52" s="406"/>
      <c r="T52" s="406"/>
    </row>
    <row r="53" spans="1:20" s="244" customFormat="1" ht="19.5" customHeight="1">
      <c r="A53" s="196" t="s">
        <v>66</v>
      </c>
      <c r="B53" s="305">
        <v>762522812</v>
      </c>
      <c r="C53" s="456" t="s">
        <v>1907</v>
      </c>
      <c r="D53" s="457" t="s">
        <v>46</v>
      </c>
      <c r="E53" s="458">
        <f>SUM(D54)</f>
        <v>2.4543000000000004</v>
      </c>
      <c r="F53" s="458"/>
      <c r="G53" s="200">
        <f>E53*F53</f>
        <v>0</v>
      </c>
      <c r="H53" s="242">
        <v>0</v>
      </c>
      <c r="I53" s="242">
        <f>E53*H53</f>
        <v>0</v>
      </c>
      <c r="J53" s="243">
        <v>0.03</v>
      </c>
      <c r="K53" s="769">
        <f>E53*J53</f>
        <v>0.07362900000000001</v>
      </c>
      <c r="L53" s="243"/>
      <c r="M53" s="243"/>
      <c r="N53" s="405"/>
      <c r="O53" s="406"/>
      <c r="P53" s="406"/>
      <c r="Q53" s="406"/>
      <c r="R53" s="406"/>
      <c r="S53" s="406"/>
      <c r="T53" s="406"/>
    </row>
    <row r="54" spans="1:20" s="596" customFormat="1" ht="21.75" customHeight="1">
      <c r="A54" s="591"/>
      <c r="B54" s="837"/>
      <c r="C54" s="838" t="s">
        <v>1908</v>
      </c>
      <c r="D54" s="839">
        <f>1.01*2.43</f>
        <v>2.4543000000000004</v>
      </c>
      <c r="E54" s="840"/>
      <c r="F54" s="841"/>
      <c r="G54" s="842"/>
      <c r="H54" s="593"/>
      <c r="I54" s="593"/>
      <c r="J54" s="592"/>
      <c r="K54" s="592"/>
      <c r="L54" s="593"/>
      <c r="M54" s="593"/>
      <c r="N54" s="594"/>
      <c r="O54" s="595"/>
      <c r="P54" s="595"/>
      <c r="Q54" s="595"/>
      <c r="R54" s="595"/>
      <c r="S54" s="595"/>
      <c r="T54" s="595"/>
    </row>
    <row r="55" spans="1:12" s="863" customFormat="1" ht="23.25" customHeight="1">
      <c r="A55" s="196" t="s">
        <v>70</v>
      </c>
      <c r="B55" s="305">
        <v>767632811</v>
      </c>
      <c r="C55" s="306" t="s">
        <v>1910</v>
      </c>
      <c r="D55" s="305" t="s">
        <v>175</v>
      </c>
      <c r="E55" s="439">
        <v>1</v>
      </c>
      <c r="F55" s="439"/>
      <c r="G55" s="200">
        <f>E55*F55</f>
        <v>0</v>
      </c>
      <c r="H55" s="85">
        <v>0</v>
      </c>
      <c r="I55" s="85">
        <f>E55*H55</f>
        <v>0</v>
      </c>
      <c r="J55" s="860">
        <v>0.137</v>
      </c>
      <c r="K55" s="861">
        <f>E55*J55</f>
        <v>0.137</v>
      </c>
      <c r="L55" s="862"/>
    </row>
    <row r="56" spans="1:20" s="204" customFormat="1" ht="19.5" customHeight="1">
      <c r="A56" s="196" t="s">
        <v>74</v>
      </c>
      <c r="B56" s="197">
        <v>766691914</v>
      </c>
      <c r="C56" s="136" t="s">
        <v>1393</v>
      </c>
      <c r="D56" s="198" t="s">
        <v>175</v>
      </c>
      <c r="E56" s="199">
        <v>3</v>
      </c>
      <c r="F56" s="199"/>
      <c r="G56" s="200">
        <f>E56*F56</f>
        <v>0</v>
      </c>
      <c r="H56" s="201">
        <v>0</v>
      </c>
      <c r="I56" s="201">
        <f>E56*H56</f>
        <v>0</v>
      </c>
      <c r="J56" s="85">
        <v>0.024</v>
      </c>
      <c r="K56" s="673">
        <f>E56*J56</f>
        <v>0.07200000000000001</v>
      </c>
      <c r="L56" s="673"/>
      <c r="M56" s="85"/>
      <c r="N56" s="202"/>
      <c r="O56" s="794"/>
      <c r="P56" s="806"/>
      <c r="Q56" s="806"/>
      <c r="R56" s="808"/>
      <c r="S56" s="203"/>
      <c r="T56" s="203"/>
    </row>
    <row r="57" spans="1:20" s="204" customFormat="1" ht="23.25" customHeight="1">
      <c r="A57" s="196" t="s">
        <v>77</v>
      </c>
      <c r="B57" s="197">
        <v>968072455</v>
      </c>
      <c r="C57" s="136" t="s">
        <v>1089</v>
      </c>
      <c r="D57" s="198" t="s">
        <v>46</v>
      </c>
      <c r="E57" s="199">
        <f>SUM(D58)</f>
        <v>4.925</v>
      </c>
      <c r="F57" s="199"/>
      <c r="G57" s="200">
        <f>E57*F57</f>
        <v>0</v>
      </c>
      <c r="H57" s="201">
        <v>0</v>
      </c>
      <c r="I57" s="201">
        <f>E57*H57</f>
        <v>0</v>
      </c>
      <c r="J57" s="85">
        <v>0.076</v>
      </c>
      <c r="K57" s="673">
        <f>E57*J57</f>
        <v>0.37429999999999997</v>
      </c>
      <c r="L57" s="673"/>
      <c r="M57" s="85"/>
      <c r="N57" s="202"/>
      <c r="O57" s="794"/>
      <c r="P57" s="806"/>
      <c r="Q57" s="806"/>
      <c r="R57" s="808"/>
      <c r="S57" s="203"/>
      <c r="T57" s="203"/>
    </row>
    <row r="58" spans="1:20" s="596" customFormat="1" ht="21.75" customHeight="1">
      <c r="A58" s="591"/>
      <c r="B58" s="837"/>
      <c r="C58" s="838" t="s">
        <v>1905</v>
      </c>
      <c r="D58" s="839">
        <f>0.9*1.97+0.8*1.97*2</f>
        <v>4.925</v>
      </c>
      <c r="E58" s="840"/>
      <c r="F58" s="841"/>
      <c r="G58" s="842"/>
      <c r="H58" s="593"/>
      <c r="I58" s="593"/>
      <c r="J58" s="592"/>
      <c r="K58" s="592"/>
      <c r="L58" s="593"/>
      <c r="M58" s="593"/>
      <c r="N58" s="594"/>
      <c r="O58" s="595"/>
      <c r="P58" s="595"/>
      <c r="Q58" s="595"/>
      <c r="R58" s="595"/>
      <c r="S58" s="595"/>
      <c r="T58" s="595"/>
    </row>
    <row r="59" spans="1:20" s="204" customFormat="1" ht="23.25" customHeight="1">
      <c r="A59" s="196" t="s">
        <v>80</v>
      </c>
      <c r="B59" s="197">
        <v>776201811</v>
      </c>
      <c r="C59" s="136" t="s">
        <v>293</v>
      </c>
      <c r="D59" s="198" t="s">
        <v>46</v>
      </c>
      <c r="E59" s="199">
        <v>51.4</v>
      </c>
      <c r="F59" s="199"/>
      <c r="G59" s="200">
        <f>E59*F59</f>
        <v>0</v>
      </c>
      <c r="H59" s="201">
        <v>0</v>
      </c>
      <c r="I59" s="201">
        <f>E59*H59</f>
        <v>0</v>
      </c>
      <c r="J59" s="85">
        <v>0.0025</v>
      </c>
      <c r="K59" s="673">
        <f>E59*J59</f>
        <v>0.1285</v>
      </c>
      <c r="L59" s="673"/>
      <c r="M59" s="85"/>
      <c r="N59" s="202"/>
      <c r="O59" s="794"/>
      <c r="P59" s="806"/>
      <c r="Q59" s="806"/>
      <c r="R59" s="808"/>
      <c r="S59" s="203"/>
      <c r="T59" s="203"/>
    </row>
    <row r="60" spans="1:20" s="204" customFormat="1" ht="23.25" customHeight="1">
      <c r="A60" s="196" t="s">
        <v>82</v>
      </c>
      <c r="B60" s="197">
        <v>776301811</v>
      </c>
      <c r="C60" s="136" t="s">
        <v>1909</v>
      </c>
      <c r="D60" s="198" t="s">
        <v>116</v>
      </c>
      <c r="E60" s="199">
        <v>4.04</v>
      </c>
      <c r="F60" s="199"/>
      <c r="G60" s="200">
        <f>E60*F60</f>
        <v>0</v>
      </c>
      <c r="H60" s="201">
        <v>0</v>
      </c>
      <c r="I60" s="201">
        <f>E60*H60</f>
        <v>0</v>
      </c>
      <c r="J60" s="85">
        <v>0.0023</v>
      </c>
      <c r="K60" s="673">
        <f>E60*J60</f>
        <v>0.009292</v>
      </c>
      <c r="L60" s="673"/>
      <c r="M60" s="85"/>
      <c r="N60" s="202"/>
      <c r="O60" s="794"/>
      <c r="P60" s="806"/>
      <c r="Q60" s="806"/>
      <c r="R60" s="808"/>
      <c r="S60" s="203"/>
      <c r="T60" s="203"/>
    </row>
    <row r="61" spans="1:20" s="204" customFormat="1" ht="29.25" customHeight="1">
      <c r="A61" s="196" t="s">
        <v>84</v>
      </c>
      <c r="B61" s="197">
        <v>965081223</v>
      </c>
      <c r="C61" s="136" t="s">
        <v>1692</v>
      </c>
      <c r="D61" s="198" t="s">
        <v>46</v>
      </c>
      <c r="E61" s="199">
        <v>7</v>
      </c>
      <c r="F61" s="199"/>
      <c r="G61" s="200">
        <f>E61*F61</f>
        <v>0</v>
      </c>
      <c r="H61" s="201">
        <v>0</v>
      </c>
      <c r="I61" s="201">
        <f>E61*H61</f>
        <v>0</v>
      </c>
      <c r="J61" s="85">
        <v>0.057</v>
      </c>
      <c r="K61" s="673">
        <f>E61*J61</f>
        <v>0.399</v>
      </c>
      <c r="L61" s="673"/>
      <c r="M61" s="85"/>
      <c r="N61" s="202"/>
      <c r="O61" s="794"/>
      <c r="P61" s="806"/>
      <c r="Q61" s="806"/>
      <c r="R61" s="808"/>
      <c r="S61" s="203"/>
      <c r="T61" s="203"/>
    </row>
    <row r="62" spans="1:20" s="204" customFormat="1" ht="29.25" customHeight="1">
      <c r="A62" s="196" t="s">
        <v>85</v>
      </c>
      <c r="B62" s="197" t="s">
        <v>48</v>
      </c>
      <c r="C62" s="136" t="s">
        <v>49</v>
      </c>
      <c r="D62" s="198" t="s">
        <v>46</v>
      </c>
      <c r="E62" s="199">
        <f>E61</f>
        <v>7</v>
      </c>
      <c r="F62" s="199"/>
      <c r="G62" s="200">
        <f>E62*F62</f>
        <v>0</v>
      </c>
      <c r="H62" s="201">
        <v>0</v>
      </c>
      <c r="I62" s="201">
        <f>E62*H62</f>
        <v>0</v>
      </c>
      <c r="J62" s="85">
        <v>0.09</v>
      </c>
      <c r="K62" s="673">
        <f>E62*J62</f>
        <v>0.63</v>
      </c>
      <c r="L62" s="673"/>
      <c r="M62" s="85"/>
      <c r="N62" s="202"/>
      <c r="O62" s="794"/>
      <c r="P62" s="806"/>
      <c r="Q62" s="806"/>
      <c r="R62" s="808"/>
      <c r="S62" s="203"/>
      <c r="T62" s="203"/>
    </row>
    <row r="63" spans="1:20" s="596" customFormat="1" ht="13.5" customHeight="1">
      <c r="A63" s="856"/>
      <c r="B63" s="857"/>
      <c r="C63" s="858"/>
      <c r="D63" s="859"/>
      <c r="E63" s="846"/>
      <c r="F63" s="760"/>
      <c r="G63" s="761"/>
      <c r="H63" s="593"/>
      <c r="I63" s="593"/>
      <c r="J63" s="592"/>
      <c r="K63" s="592"/>
      <c r="L63" s="593"/>
      <c r="M63" s="593"/>
      <c r="N63" s="594"/>
      <c r="O63" s="595"/>
      <c r="P63" s="595"/>
      <c r="Q63" s="595"/>
      <c r="R63" s="595"/>
      <c r="S63" s="595"/>
      <c r="T63" s="595"/>
    </row>
    <row r="64" spans="1:20" s="204" customFormat="1" ht="29.25" customHeight="1">
      <c r="A64" s="196" t="s">
        <v>89</v>
      </c>
      <c r="B64" s="197" t="s">
        <v>67</v>
      </c>
      <c r="C64" s="136" t="s">
        <v>1389</v>
      </c>
      <c r="D64" s="198" t="s">
        <v>46</v>
      </c>
      <c r="E64" s="199">
        <f>SUM(D65)</f>
        <v>216.00199999999998</v>
      </c>
      <c r="F64" s="199"/>
      <c r="G64" s="200">
        <f>E64*F64</f>
        <v>0</v>
      </c>
      <c r="H64" s="201">
        <v>0</v>
      </c>
      <c r="I64" s="201">
        <f>E64*H64</f>
        <v>0</v>
      </c>
      <c r="J64" s="85">
        <v>0.046</v>
      </c>
      <c r="K64" s="673">
        <f>E64*J64</f>
        <v>9.936091999999999</v>
      </c>
      <c r="L64" s="673"/>
      <c r="M64" s="85"/>
      <c r="N64" s="202"/>
      <c r="O64" s="203"/>
      <c r="P64" s="203"/>
      <c r="Q64" s="203"/>
      <c r="R64" s="203"/>
      <c r="S64" s="203"/>
      <c r="T64" s="203"/>
    </row>
    <row r="65" spans="1:20" s="214" customFormat="1" ht="27.75" customHeight="1">
      <c r="A65" s="196"/>
      <c r="B65" s="205"/>
      <c r="C65" s="206" t="s">
        <v>1925</v>
      </c>
      <c r="D65" s="207">
        <f>(76.1*2.3)-1.06*1.5*8-1.62*2.3-1.5*1.6--1.7*2.3-1.78*2.3-1.88*2.3*2-0.8*2.3-1.6*2.3-7.4*1.5+25.5*2.3+11.6*2.3-0.06</f>
        <v>216.00199999999998</v>
      </c>
      <c r="E65" s="208"/>
      <c r="F65" s="208"/>
      <c r="G65" s="209"/>
      <c r="H65" s="210"/>
      <c r="I65" s="210"/>
      <c r="J65" s="211"/>
      <c r="K65" s="673"/>
      <c r="L65" s="705"/>
      <c r="M65" s="211"/>
      <c r="N65" s="212"/>
      <c r="O65" s="213"/>
      <c r="P65" s="213"/>
      <c r="Q65" s="213"/>
      <c r="R65" s="213"/>
      <c r="S65" s="213"/>
      <c r="T65" s="213"/>
    </row>
    <row r="66" spans="1:20" s="204" customFormat="1" ht="29.25" customHeight="1">
      <c r="A66" s="196" t="s">
        <v>91</v>
      </c>
      <c r="B66" s="197">
        <v>978013141</v>
      </c>
      <c r="C66" s="136" t="s">
        <v>1525</v>
      </c>
      <c r="D66" s="198" t="s">
        <v>46</v>
      </c>
      <c r="E66" s="199">
        <f>SUM(D67:D68)</f>
        <v>434.7</v>
      </c>
      <c r="F66" s="199"/>
      <c r="G66" s="200">
        <f>E66*F66</f>
        <v>0</v>
      </c>
      <c r="H66" s="201">
        <v>0</v>
      </c>
      <c r="I66" s="201">
        <f>E66*H66</f>
        <v>0</v>
      </c>
      <c r="J66" s="85">
        <v>0.01</v>
      </c>
      <c r="K66" s="673">
        <f>E66*J66</f>
        <v>4.347</v>
      </c>
      <c r="L66" s="673"/>
      <c r="M66" s="85"/>
      <c r="N66" s="202"/>
      <c r="O66" s="203"/>
      <c r="P66" s="203"/>
      <c r="Q66" s="203"/>
      <c r="R66" s="203"/>
      <c r="S66" s="203"/>
      <c r="T66" s="203"/>
    </row>
    <row r="67" spans="1:20" s="214" customFormat="1" ht="19.5" customHeight="1">
      <c r="A67" s="196"/>
      <c r="B67" s="205"/>
      <c r="C67" s="206" t="s">
        <v>1927</v>
      </c>
      <c r="D67" s="207">
        <f>11.8*4.5+26*1.15*2+1.2*4.5*2+1.3*0.9*2+25.5*3.4+11.6*0.9+19*3.9*2-0.04</f>
        <v>371.34</v>
      </c>
      <c r="E67" s="208"/>
      <c r="F67" s="208"/>
      <c r="G67" s="209"/>
      <c r="H67" s="210"/>
      <c r="I67" s="210"/>
      <c r="J67" s="211"/>
      <c r="K67" s="673"/>
      <c r="L67" s="705"/>
      <c r="M67" s="211"/>
      <c r="N67" s="212"/>
      <c r="O67" s="213"/>
      <c r="P67" s="213"/>
      <c r="Q67" s="213"/>
      <c r="R67" s="213"/>
      <c r="S67" s="213"/>
      <c r="T67" s="213"/>
    </row>
    <row r="68" spans="1:20" s="596" customFormat="1" ht="19.5" customHeight="1">
      <c r="A68" s="856"/>
      <c r="B68" s="857"/>
      <c r="C68" s="858" t="s">
        <v>1926</v>
      </c>
      <c r="D68" s="859">
        <f>0.6*4*3.3*8</f>
        <v>63.35999999999999</v>
      </c>
      <c r="E68" s="846"/>
      <c r="F68" s="760"/>
      <c r="G68" s="761"/>
      <c r="H68" s="593"/>
      <c r="I68" s="593"/>
      <c r="J68" s="592"/>
      <c r="K68" s="592"/>
      <c r="L68" s="593"/>
      <c r="M68" s="593"/>
      <c r="N68" s="594"/>
      <c r="O68" s="595"/>
      <c r="P68" s="595"/>
      <c r="Q68" s="595"/>
      <c r="R68" s="595"/>
      <c r="S68" s="595"/>
      <c r="T68" s="595"/>
    </row>
    <row r="69" spans="1:20" s="596" customFormat="1" ht="13.5" customHeight="1">
      <c r="A69" s="856"/>
      <c r="B69" s="857"/>
      <c r="C69" s="858"/>
      <c r="D69" s="859"/>
      <c r="E69" s="846"/>
      <c r="F69" s="760"/>
      <c r="G69" s="761"/>
      <c r="H69" s="593"/>
      <c r="I69" s="593"/>
      <c r="J69" s="592"/>
      <c r="K69" s="592"/>
      <c r="L69" s="593"/>
      <c r="M69" s="593"/>
      <c r="N69" s="594"/>
      <c r="O69" s="595"/>
      <c r="P69" s="595"/>
      <c r="Q69" s="595"/>
      <c r="R69" s="595"/>
      <c r="S69" s="595"/>
      <c r="T69" s="595"/>
    </row>
    <row r="70" spans="1:20" s="576" customFormat="1" ht="21" customHeight="1">
      <c r="A70" s="280"/>
      <c r="B70" s="263" t="s">
        <v>68</v>
      </c>
      <c r="C70" s="215" t="s">
        <v>69</v>
      </c>
      <c r="D70" s="843"/>
      <c r="E70" s="844"/>
      <c r="F70" s="574"/>
      <c r="G70" s="575"/>
      <c r="H70" s="264"/>
      <c r="I70" s="264"/>
      <c r="J70" s="285"/>
      <c r="K70" s="216">
        <f>SUM(K36:K68)</f>
        <v>39.42967637500001</v>
      </c>
      <c r="L70" s="264"/>
      <c r="M70" s="264"/>
      <c r="N70" s="265"/>
      <c r="O70" s="266"/>
      <c r="P70" s="266"/>
      <c r="Q70" s="266"/>
      <c r="R70" s="266"/>
      <c r="S70" s="266"/>
      <c r="T70" s="266"/>
    </row>
    <row r="71" spans="1:20" s="204" customFormat="1" ht="36.75" customHeight="1">
      <c r="A71" s="196" t="s">
        <v>93</v>
      </c>
      <c r="B71" s="237" t="s">
        <v>1038</v>
      </c>
      <c r="C71" s="711" t="s">
        <v>1039</v>
      </c>
      <c r="D71" s="712" t="s">
        <v>73</v>
      </c>
      <c r="E71" s="713">
        <f>K70</f>
        <v>39.42967637500001</v>
      </c>
      <c r="F71" s="199"/>
      <c r="G71" s="200">
        <f aca="true" t="shared" si="1" ref="G71:G80">E71*F71</f>
        <v>0</v>
      </c>
      <c r="H71" s="85"/>
      <c r="I71" s="85"/>
      <c r="J71" s="201"/>
      <c r="K71" s="201"/>
      <c r="L71" s="85"/>
      <c r="M71" s="85"/>
      <c r="N71" s="202"/>
      <c r="O71" s="203"/>
      <c r="P71" s="203"/>
      <c r="Q71" s="203"/>
      <c r="R71" s="203"/>
      <c r="S71" s="203"/>
      <c r="T71" s="203"/>
    </row>
    <row r="72" spans="1:20" s="204" customFormat="1" ht="22.5" customHeight="1">
      <c r="A72" s="196" t="s">
        <v>95</v>
      </c>
      <c r="B72" s="197" t="s">
        <v>71</v>
      </c>
      <c r="C72" s="136" t="s">
        <v>72</v>
      </c>
      <c r="D72" s="198" t="s">
        <v>73</v>
      </c>
      <c r="E72" s="199">
        <f>E71</f>
        <v>39.42967637500001</v>
      </c>
      <c r="F72" s="199"/>
      <c r="G72" s="200">
        <f>E72*F72</f>
        <v>0</v>
      </c>
      <c r="H72" s="85"/>
      <c r="I72" s="85"/>
      <c r="J72" s="201"/>
      <c r="K72" s="201"/>
      <c r="L72" s="85"/>
      <c r="M72" s="85"/>
      <c r="N72" s="202"/>
      <c r="O72" s="203"/>
      <c r="P72" s="203"/>
      <c r="Q72" s="203"/>
      <c r="R72" s="203"/>
      <c r="S72" s="203"/>
      <c r="T72" s="203"/>
    </row>
    <row r="73" spans="1:20" s="214" customFormat="1" ht="36.75" customHeight="1">
      <c r="A73" s="196" t="s">
        <v>103</v>
      </c>
      <c r="B73" s="237" t="s">
        <v>75</v>
      </c>
      <c r="C73" s="711" t="s">
        <v>1040</v>
      </c>
      <c r="D73" s="714" t="s">
        <v>73</v>
      </c>
      <c r="E73" s="713">
        <f>E71</f>
        <v>39.42967637500001</v>
      </c>
      <c r="F73" s="199"/>
      <c r="G73" s="200">
        <f t="shared" si="1"/>
        <v>0</v>
      </c>
      <c r="H73" s="211"/>
      <c r="I73" s="85"/>
      <c r="J73" s="210"/>
      <c r="K73" s="210"/>
      <c r="L73" s="211"/>
      <c r="M73" s="211"/>
      <c r="N73" s="212"/>
      <c r="O73" s="213"/>
      <c r="P73" s="213"/>
      <c r="Q73" s="213"/>
      <c r="R73" s="213"/>
      <c r="S73" s="213"/>
      <c r="T73" s="213"/>
    </row>
    <row r="74" spans="1:20" s="204" customFormat="1" ht="29.25" customHeight="1">
      <c r="A74" s="196" t="s">
        <v>107</v>
      </c>
      <c r="B74" s="237" t="s">
        <v>78</v>
      </c>
      <c r="C74" s="711" t="s">
        <v>1051</v>
      </c>
      <c r="D74" s="712" t="s">
        <v>73</v>
      </c>
      <c r="E74" s="713">
        <f>SUM(D75)</f>
        <v>394.3</v>
      </c>
      <c r="F74" s="199"/>
      <c r="G74" s="200">
        <f t="shared" si="1"/>
        <v>0</v>
      </c>
      <c r="H74" s="85"/>
      <c r="I74" s="85"/>
      <c r="J74" s="201"/>
      <c r="K74" s="201"/>
      <c r="L74" s="85"/>
      <c r="M74" s="85"/>
      <c r="N74" s="202"/>
      <c r="O74" s="203"/>
      <c r="P74" s="203"/>
      <c r="Q74" s="203"/>
      <c r="R74" s="203"/>
      <c r="S74" s="203"/>
      <c r="T74" s="203"/>
    </row>
    <row r="75" spans="1:20" s="214" customFormat="1" ht="15" customHeight="1">
      <c r="A75" s="196"/>
      <c r="B75" s="205"/>
      <c r="C75" s="206" t="s">
        <v>1928</v>
      </c>
      <c r="D75" s="207">
        <f>39.43*10</f>
        <v>394.3</v>
      </c>
      <c r="E75" s="208"/>
      <c r="F75" s="208"/>
      <c r="G75" s="209"/>
      <c r="H75" s="211"/>
      <c r="I75" s="85"/>
      <c r="J75" s="210"/>
      <c r="K75" s="210"/>
      <c r="L75" s="211"/>
      <c r="M75" s="211"/>
      <c r="N75" s="212"/>
      <c r="O75" s="213"/>
      <c r="P75" s="213"/>
      <c r="Q75" s="213"/>
      <c r="R75" s="213"/>
      <c r="S75" s="213"/>
      <c r="T75" s="213"/>
    </row>
    <row r="76" spans="1:20" s="214" customFormat="1" ht="30" customHeight="1">
      <c r="A76" s="196" t="s">
        <v>1358</v>
      </c>
      <c r="B76" s="237" t="s">
        <v>1041</v>
      </c>
      <c r="C76" s="711" t="s">
        <v>1042</v>
      </c>
      <c r="D76" s="714" t="s">
        <v>73</v>
      </c>
      <c r="E76" s="713">
        <f>K39+K41+K64+K66</f>
        <v>34.149017</v>
      </c>
      <c r="F76" s="199"/>
      <c r="G76" s="200">
        <f t="shared" si="1"/>
        <v>0</v>
      </c>
      <c r="H76" s="211"/>
      <c r="I76" s="85"/>
      <c r="J76" s="210"/>
      <c r="K76" s="210"/>
      <c r="L76" s="211"/>
      <c r="M76" s="211"/>
      <c r="N76" s="212"/>
      <c r="O76" s="213"/>
      <c r="P76" s="213"/>
      <c r="Q76" s="213"/>
      <c r="R76" s="213"/>
      <c r="S76" s="213"/>
      <c r="T76" s="213"/>
    </row>
    <row r="77" spans="1:20" s="204" customFormat="1" ht="29.25" customHeight="1">
      <c r="A77" s="196" t="s">
        <v>1359</v>
      </c>
      <c r="B77" s="197">
        <v>997221861</v>
      </c>
      <c r="C77" s="136" t="s">
        <v>1052</v>
      </c>
      <c r="D77" s="198" t="s">
        <v>73</v>
      </c>
      <c r="E77" s="199">
        <f>K62</f>
        <v>0.63</v>
      </c>
      <c r="F77" s="199"/>
      <c r="G77" s="200">
        <f t="shared" si="1"/>
        <v>0</v>
      </c>
      <c r="H77" s="85"/>
      <c r="I77" s="85"/>
      <c r="J77" s="201"/>
      <c r="K77" s="201"/>
      <c r="L77" s="85"/>
      <c r="M77" s="85"/>
      <c r="N77" s="202"/>
      <c r="O77" s="203"/>
      <c r="P77" s="203"/>
      <c r="Q77" s="203"/>
      <c r="R77" s="203"/>
      <c r="S77" s="203"/>
      <c r="T77" s="203"/>
    </row>
    <row r="78" spans="1:20" s="204" customFormat="1" ht="29.25" customHeight="1">
      <c r="A78" s="196" t="s">
        <v>1360</v>
      </c>
      <c r="B78" s="197">
        <v>997013871</v>
      </c>
      <c r="C78" s="136" t="s">
        <v>1064</v>
      </c>
      <c r="D78" s="198" t="s">
        <v>73</v>
      </c>
      <c r="E78" s="199">
        <f>K45+K57+K59+K60</f>
        <v>0.512242</v>
      </c>
      <c r="F78" s="199"/>
      <c r="G78" s="200">
        <f>$E78*F78</f>
        <v>0</v>
      </c>
      <c r="H78" s="85"/>
      <c r="I78" s="85"/>
      <c r="J78" s="201"/>
      <c r="K78" s="201"/>
      <c r="L78" s="85"/>
      <c r="M78" s="85"/>
      <c r="N78" s="202"/>
      <c r="O78" s="203"/>
      <c r="P78" s="203"/>
      <c r="Q78" s="203"/>
      <c r="R78" s="203"/>
      <c r="S78" s="203"/>
      <c r="T78" s="203"/>
    </row>
    <row r="79" spans="1:20" s="204" customFormat="1" ht="34.5" customHeight="1">
      <c r="A79" s="196" t="s">
        <v>1361</v>
      </c>
      <c r="B79" s="237" t="s">
        <v>1043</v>
      </c>
      <c r="C79" s="711" t="s">
        <v>1044</v>
      </c>
      <c r="D79" s="712" t="s">
        <v>73</v>
      </c>
      <c r="E79" s="713">
        <f>K47+K49+K50+K52+K53+K55+K56</f>
        <v>3.736917375</v>
      </c>
      <c r="F79" s="199"/>
      <c r="G79" s="200">
        <f t="shared" si="1"/>
        <v>0</v>
      </c>
      <c r="H79" s="85"/>
      <c r="I79" s="85"/>
      <c r="J79" s="201"/>
      <c r="K79" s="201"/>
      <c r="L79" s="85"/>
      <c r="M79" s="85"/>
      <c r="N79" s="202"/>
      <c r="O79" s="203"/>
      <c r="P79" s="203"/>
      <c r="Q79" s="203"/>
      <c r="R79" s="203"/>
      <c r="S79" s="203"/>
      <c r="T79" s="203"/>
    </row>
    <row r="80" spans="1:20" s="204" customFormat="1" ht="34.5" customHeight="1">
      <c r="A80" s="196" t="s">
        <v>1362</v>
      </c>
      <c r="B80" s="237" t="s">
        <v>1110</v>
      </c>
      <c r="C80" s="711" t="s">
        <v>1111</v>
      </c>
      <c r="D80" s="712" t="s">
        <v>73</v>
      </c>
      <c r="E80" s="713">
        <f>K61</f>
        <v>0.399</v>
      </c>
      <c r="F80" s="199"/>
      <c r="G80" s="200">
        <f t="shared" si="1"/>
        <v>0</v>
      </c>
      <c r="H80" s="217"/>
      <c r="I80" s="217"/>
      <c r="J80" s="201"/>
      <c r="K80" s="216"/>
      <c r="L80" s="85"/>
      <c r="M80" s="85"/>
      <c r="N80" s="202"/>
      <c r="O80" s="203"/>
      <c r="P80" s="203"/>
      <c r="Q80" s="203"/>
      <c r="R80" s="203"/>
      <c r="S80" s="203"/>
      <c r="T80" s="203"/>
    </row>
    <row r="81" spans="1:7" ht="14" thickBot="1">
      <c r="A81" s="218"/>
      <c r="B81" s="412"/>
      <c r="C81" s="220"/>
      <c r="D81" s="221"/>
      <c r="E81" s="413"/>
      <c r="F81" s="414"/>
      <c r="G81" s="415"/>
    </row>
    <row r="82" spans="1:7" ht="19.5" customHeight="1" thickBot="1">
      <c r="A82" s="225"/>
      <c r="B82" s="226"/>
      <c r="C82" s="227" t="s">
        <v>113</v>
      </c>
      <c r="D82" s="226"/>
      <c r="E82" s="416"/>
      <c r="F82" s="417"/>
      <c r="G82" s="230">
        <f>SUBTOTAL(9,G36:G81)</f>
        <v>0</v>
      </c>
    </row>
    <row r="83" spans="1:7" ht="13" thickBot="1">
      <c r="A83" s="179"/>
      <c r="B83" s="180"/>
      <c r="C83" s="180"/>
      <c r="D83" s="180"/>
      <c r="E83" s="180"/>
      <c r="F83" s="180"/>
      <c r="G83" s="396"/>
    </row>
    <row r="84" spans="1:7" ht="17.25" customHeight="1" thickBot="1">
      <c r="A84" s="182" t="s">
        <v>100</v>
      </c>
      <c r="B84" s="183"/>
      <c r="C84" s="184" t="s">
        <v>260</v>
      </c>
      <c r="D84" s="397"/>
      <c r="E84" s="398"/>
      <c r="F84" s="187"/>
      <c r="G84" s="399"/>
    </row>
    <row r="85" spans="1:7" ht="12.75">
      <c r="A85" s="189"/>
      <c r="B85" s="400"/>
      <c r="C85" s="232"/>
      <c r="D85" s="233"/>
      <c r="E85" s="401"/>
      <c r="F85" s="402"/>
      <c r="G85" s="403"/>
    </row>
    <row r="86" spans="1:20" s="204" customFormat="1" ht="29.25" customHeight="1">
      <c r="A86" s="196" t="s">
        <v>115</v>
      </c>
      <c r="B86" s="197">
        <v>319202214</v>
      </c>
      <c r="C86" s="136" t="s">
        <v>1403</v>
      </c>
      <c r="D86" s="198" t="s">
        <v>116</v>
      </c>
      <c r="E86" s="199">
        <f>SUM(D87)</f>
        <v>17.1</v>
      </c>
      <c r="F86" s="199"/>
      <c r="G86" s="200">
        <f>E86*F86</f>
        <v>0</v>
      </c>
      <c r="H86" s="201">
        <v>0.00122</v>
      </c>
      <c r="I86" s="201">
        <f>E86*H86</f>
        <v>0.020862000000000002</v>
      </c>
      <c r="J86" s="85">
        <v>4E-05</v>
      </c>
      <c r="K86" s="85">
        <f>E86*J86</f>
        <v>0.0006840000000000001</v>
      </c>
      <c r="L86" s="85"/>
      <c r="M86" s="85"/>
      <c r="N86" s="202"/>
      <c r="O86" s="203"/>
      <c r="P86" s="203"/>
      <c r="Q86" s="203"/>
      <c r="R86" s="203"/>
      <c r="S86" s="203"/>
      <c r="T86" s="203"/>
    </row>
    <row r="87" spans="1:12" s="251" customFormat="1" ht="17.25" customHeight="1">
      <c r="A87" s="196"/>
      <c r="B87" s="205"/>
      <c r="C87" s="245" t="s">
        <v>2181</v>
      </c>
      <c r="D87" s="246">
        <f>15.4+1.7</f>
        <v>17.1</v>
      </c>
      <c r="E87" s="247"/>
      <c r="F87" s="247"/>
      <c r="G87" s="248"/>
      <c r="H87" s="249"/>
      <c r="I87" s="250"/>
      <c r="J87" s="250"/>
      <c r="K87" s="250"/>
      <c r="L87" s="250"/>
    </row>
    <row r="88" spans="1:12" s="244" customFormat="1" ht="21.75" customHeight="1">
      <c r="A88" s="196" t="s">
        <v>117</v>
      </c>
      <c r="B88" s="237">
        <v>342272225</v>
      </c>
      <c r="C88" s="238" t="s">
        <v>118</v>
      </c>
      <c r="D88" s="197" t="s">
        <v>46</v>
      </c>
      <c r="E88" s="239">
        <f>SUM(D89)</f>
        <v>3.76</v>
      </c>
      <c r="F88" s="239"/>
      <c r="G88" s="240">
        <f>$E88*F88</f>
        <v>0</v>
      </c>
      <c r="H88" s="241">
        <v>0.05897</v>
      </c>
      <c r="I88" s="242">
        <f>E88*H88</f>
        <v>0.22172719999999999</v>
      </c>
      <c r="J88" s="243">
        <v>0</v>
      </c>
      <c r="K88" s="241">
        <f>E88*J88</f>
        <v>0</v>
      </c>
      <c r="L88" s="241"/>
    </row>
    <row r="89" spans="1:12" s="251" customFormat="1" ht="17.25" customHeight="1">
      <c r="A89" s="196"/>
      <c r="B89" s="205"/>
      <c r="C89" s="245" t="s">
        <v>1911</v>
      </c>
      <c r="D89" s="246">
        <f>1.88*2</f>
        <v>3.76</v>
      </c>
      <c r="E89" s="247"/>
      <c r="F89" s="247"/>
      <c r="G89" s="248"/>
      <c r="H89" s="249"/>
      <c r="I89" s="250"/>
      <c r="J89" s="250"/>
      <c r="K89" s="250"/>
      <c r="L89" s="250"/>
    </row>
    <row r="90" spans="1:12" s="244" customFormat="1" ht="21.75" customHeight="1">
      <c r="A90" s="196" t="s">
        <v>119</v>
      </c>
      <c r="B90" s="237">
        <v>310279842</v>
      </c>
      <c r="C90" s="238" t="s">
        <v>120</v>
      </c>
      <c r="D90" s="197" t="s">
        <v>52</v>
      </c>
      <c r="E90" s="239">
        <f>SUM(D91)</f>
        <v>1.8</v>
      </c>
      <c r="F90" s="239"/>
      <c r="G90" s="240">
        <f>$E90*F90</f>
        <v>0</v>
      </c>
      <c r="H90" s="241">
        <v>1.32715</v>
      </c>
      <c r="I90" s="242">
        <f>E90*H90</f>
        <v>2.3888700000000003</v>
      </c>
      <c r="J90" s="243">
        <v>0</v>
      </c>
      <c r="K90" s="241">
        <f>E90*J90</f>
        <v>0</v>
      </c>
      <c r="L90" s="241"/>
    </row>
    <row r="91" spans="1:12" s="251" customFormat="1" ht="17.25" customHeight="1">
      <c r="A91" s="196"/>
      <c r="B91" s="205"/>
      <c r="C91" s="245" t="s">
        <v>1921</v>
      </c>
      <c r="D91" s="246">
        <f>1.8*2*0.5</f>
        <v>1.8</v>
      </c>
      <c r="E91" s="247"/>
      <c r="F91" s="247"/>
      <c r="G91" s="248"/>
      <c r="H91" s="249"/>
      <c r="I91" s="250"/>
      <c r="J91" s="250"/>
      <c r="K91" s="250"/>
      <c r="L91" s="250"/>
    </row>
    <row r="92" spans="1:12" s="244" customFormat="1" ht="21.75" customHeight="1">
      <c r="A92" s="196" t="s">
        <v>295</v>
      </c>
      <c r="B92" s="237" t="s">
        <v>1137</v>
      </c>
      <c r="C92" s="238" t="s">
        <v>1138</v>
      </c>
      <c r="D92" s="197" t="s">
        <v>73</v>
      </c>
      <c r="E92" s="239">
        <f>SUM(D93:D94)</f>
        <v>0.1414584</v>
      </c>
      <c r="F92" s="239"/>
      <c r="G92" s="240">
        <f>$E92*F92</f>
        <v>0</v>
      </c>
      <c r="H92" s="241">
        <v>1.09</v>
      </c>
      <c r="I92" s="242">
        <f>E92*H92</f>
        <v>0.15418965600000004</v>
      </c>
      <c r="J92" s="243">
        <v>0</v>
      </c>
      <c r="K92" s="241">
        <f>E92*J92</f>
        <v>0</v>
      </c>
      <c r="L92" s="241"/>
    </row>
    <row r="93" spans="1:12" s="251" customFormat="1" ht="17.25" customHeight="1">
      <c r="A93" s="196"/>
      <c r="B93" s="706" t="s">
        <v>1546</v>
      </c>
      <c r="C93" s="716" t="s">
        <v>1916</v>
      </c>
      <c r="D93" s="717">
        <f>1.9*11.1*1.08*0.001</f>
        <v>0.0227772</v>
      </c>
      <c r="E93" s="718"/>
      <c r="F93" s="718"/>
      <c r="G93" s="719"/>
      <c r="H93" s="249"/>
      <c r="I93" s="250"/>
      <c r="J93" s="250"/>
      <c r="K93" s="250"/>
      <c r="L93" s="250"/>
    </row>
    <row r="94" spans="1:12" s="251" customFormat="1" ht="17.25" customHeight="1">
      <c r="A94" s="750"/>
      <c r="B94" s="706" t="s">
        <v>1546</v>
      </c>
      <c r="C94" s="726" t="s">
        <v>1918</v>
      </c>
      <c r="D94" s="727">
        <f>1.4*11.1*1.08*3*0.001+0.95*11.1*1.08*3*0.001*2</f>
        <v>0.11868120000000001</v>
      </c>
      <c r="E94" s="728"/>
      <c r="F94" s="728"/>
      <c r="G94" s="729"/>
      <c r="H94" s="249"/>
      <c r="I94" s="250"/>
      <c r="J94" s="250"/>
      <c r="K94" s="250"/>
      <c r="L94" s="250"/>
    </row>
    <row r="95" spans="1:12" s="244" customFormat="1" ht="21.75" customHeight="1">
      <c r="A95" s="196" t="s">
        <v>299</v>
      </c>
      <c r="B95" s="237">
        <v>317944323</v>
      </c>
      <c r="C95" s="238" t="s">
        <v>1549</v>
      </c>
      <c r="D95" s="197" t="s">
        <v>73</v>
      </c>
      <c r="E95" s="239">
        <f>SUM(D96:D96)</f>
        <v>0.2799360000000001</v>
      </c>
      <c r="F95" s="239"/>
      <c r="G95" s="240">
        <f>$E95*F95</f>
        <v>0</v>
      </c>
      <c r="H95" s="241">
        <v>1.09</v>
      </c>
      <c r="I95" s="242">
        <f>E95*H95</f>
        <v>0.3051302400000001</v>
      </c>
      <c r="J95" s="243">
        <v>0</v>
      </c>
      <c r="K95" s="241">
        <f>E95*J95</f>
        <v>0</v>
      </c>
      <c r="L95" s="241"/>
    </row>
    <row r="96" spans="1:12" s="251" customFormat="1" ht="17.25" customHeight="1">
      <c r="A96" s="196"/>
      <c r="B96" s="706" t="s">
        <v>1548</v>
      </c>
      <c r="C96" s="716" t="s">
        <v>1917</v>
      </c>
      <c r="D96" s="717">
        <f>2.1*14.4*1.08*3*0.001+2.1*14.4*1.08*3*0.001+1.8*14.4*1.08*3*0.001</f>
        <v>0.2799360000000001</v>
      </c>
      <c r="E96" s="718"/>
      <c r="F96" s="718"/>
      <c r="G96" s="719"/>
      <c r="H96" s="249"/>
      <c r="I96" s="250"/>
      <c r="J96" s="250"/>
      <c r="K96" s="250"/>
      <c r="L96" s="250"/>
    </row>
    <row r="97" spans="1:12" s="244" customFormat="1" ht="21.75" customHeight="1">
      <c r="A97" s="196" t="s">
        <v>301</v>
      </c>
      <c r="B97" s="237" t="s">
        <v>1135</v>
      </c>
      <c r="C97" s="238" t="s">
        <v>1136</v>
      </c>
      <c r="D97" s="197" t="s">
        <v>52</v>
      </c>
      <c r="E97" s="239">
        <f>SUM(D98:D99)</f>
        <v>0.98925</v>
      </c>
      <c r="F97" s="239"/>
      <c r="G97" s="240">
        <f>$E97*F97</f>
        <v>0</v>
      </c>
      <c r="H97" s="241">
        <v>1.94302</v>
      </c>
      <c r="I97" s="242">
        <f>E97*H97</f>
        <v>1.9221325349999998</v>
      </c>
      <c r="J97" s="243">
        <v>0</v>
      </c>
      <c r="K97" s="241">
        <f>E97*J97</f>
        <v>0</v>
      </c>
      <c r="L97" s="241"/>
    </row>
    <row r="98" spans="1:12" s="251" customFormat="1" ht="17.25" customHeight="1">
      <c r="A98" s="715"/>
      <c r="B98" s="706" t="s">
        <v>1546</v>
      </c>
      <c r="C98" s="716" t="s">
        <v>1919</v>
      </c>
      <c r="D98" s="717">
        <f>1.9*0.2*0.15+1.4*0.15*0.55+0.95*0.15*0.55*2</f>
        <v>0.32925</v>
      </c>
      <c r="E98" s="718"/>
      <c r="F98" s="718"/>
      <c r="G98" s="719"/>
      <c r="H98" s="249"/>
      <c r="I98" s="250"/>
      <c r="J98" s="250"/>
      <c r="K98" s="250"/>
      <c r="L98" s="250"/>
    </row>
    <row r="99" spans="1:12" s="251" customFormat="1" ht="17.25" customHeight="1">
      <c r="A99" s="715"/>
      <c r="B99" s="706" t="s">
        <v>1548</v>
      </c>
      <c r="C99" s="716" t="s">
        <v>1920</v>
      </c>
      <c r="D99" s="717">
        <f>2.1*0.2*0.6+2.1*0.2*0.5+1.8*0.2*0.55</f>
        <v>0.66</v>
      </c>
      <c r="E99" s="718"/>
      <c r="F99" s="718"/>
      <c r="G99" s="719"/>
      <c r="H99" s="249"/>
      <c r="I99" s="250"/>
      <c r="J99" s="250"/>
      <c r="K99" s="250"/>
      <c r="L99" s="250"/>
    </row>
    <row r="100" spans="1:12" s="244" customFormat="1" ht="33.75" customHeight="1">
      <c r="A100" s="196" t="s">
        <v>304</v>
      </c>
      <c r="B100" s="237">
        <v>763121411</v>
      </c>
      <c r="C100" s="238" t="s">
        <v>1913</v>
      </c>
      <c r="D100" s="197" t="s">
        <v>46</v>
      </c>
      <c r="E100" s="239">
        <f>SUM(D101:D103)</f>
        <v>12.854</v>
      </c>
      <c r="F100" s="239"/>
      <c r="G100" s="240">
        <f>$E100*F100</f>
        <v>0</v>
      </c>
      <c r="H100" s="241">
        <v>0.0118</v>
      </c>
      <c r="I100" s="242">
        <f>E100*H100</f>
        <v>0.15167719999999998</v>
      </c>
      <c r="J100" s="243">
        <v>0</v>
      </c>
      <c r="K100" s="241">
        <f>E100*J100</f>
        <v>0</v>
      </c>
      <c r="L100" s="241"/>
    </row>
    <row r="101" spans="1:12" s="251" customFormat="1" ht="17.25" customHeight="1">
      <c r="A101" s="750"/>
      <c r="B101" s="725"/>
      <c r="C101" s="726" t="s">
        <v>1912</v>
      </c>
      <c r="D101" s="727">
        <f>1.29*6.6+1.24*3.5</f>
        <v>12.854</v>
      </c>
      <c r="E101" s="728"/>
      <c r="F101" s="728"/>
      <c r="G101" s="729"/>
      <c r="H101" s="249"/>
      <c r="I101" s="250"/>
      <c r="J101" s="250"/>
      <c r="K101" s="250"/>
      <c r="L101" s="250"/>
    </row>
    <row r="102" spans="1:12" s="244" customFormat="1" ht="14" thickBot="1">
      <c r="A102" s="286"/>
      <c r="B102" s="412"/>
      <c r="C102" s="220"/>
      <c r="D102" s="221"/>
      <c r="E102" s="414"/>
      <c r="F102" s="414"/>
      <c r="G102" s="418"/>
      <c r="H102" s="241"/>
      <c r="I102" s="241"/>
      <c r="J102" s="241"/>
      <c r="K102" s="241"/>
      <c r="L102" s="241"/>
    </row>
    <row r="103" spans="1:7" ht="13" thickBot="1">
      <c r="A103" s="225"/>
      <c r="B103" s="226"/>
      <c r="C103" s="227" t="s">
        <v>113</v>
      </c>
      <c r="D103" s="226"/>
      <c r="E103" s="416"/>
      <c r="F103" s="417"/>
      <c r="G103" s="230">
        <f>SUBTOTAL(9,G85:G102)</f>
        <v>0</v>
      </c>
    </row>
    <row r="104" spans="1:7" ht="13" thickBot="1">
      <c r="A104" s="179"/>
      <c r="B104" s="180"/>
      <c r="C104" s="180"/>
      <c r="D104" s="180"/>
      <c r="E104" s="180"/>
      <c r="F104" s="180"/>
      <c r="G104" s="396"/>
    </row>
    <row r="105" spans="1:20" s="80" customFormat="1" ht="17.25" customHeight="1" thickBot="1">
      <c r="A105" s="182" t="s">
        <v>121</v>
      </c>
      <c r="B105" s="183"/>
      <c r="C105" s="184" t="s">
        <v>1139</v>
      </c>
      <c r="D105" s="185"/>
      <c r="E105" s="186"/>
      <c r="F105" s="187"/>
      <c r="G105" s="188"/>
      <c r="H105" s="77"/>
      <c r="I105" s="77"/>
      <c r="J105" s="77"/>
      <c r="K105" s="77"/>
      <c r="L105" s="77"/>
      <c r="M105" s="77"/>
      <c r="N105" s="78"/>
      <c r="O105" s="791"/>
      <c r="P105" s="798"/>
      <c r="Q105" s="798"/>
      <c r="R105" s="809"/>
      <c r="S105" s="79"/>
      <c r="T105" s="79"/>
    </row>
    <row r="106" spans="1:20" s="80" customFormat="1" ht="12.75">
      <c r="A106" s="189"/>
      <c r="B106" s="231"/>
      <c r="C106" s="232"/>
      <c r="D106" s="233"/>
      <c r="E106" s="234"/>
      <c r="F106" s="235"/>
      <c r="G106" s="236"/>
      <c r="H106" s="77"/>
      <c r="I106" s="77"/>
      <c r="J106" s="77"/>
      <c r="K106" s="77"/>
      <c r="L106" s="77"/>
      <c r="M106" s="77"/>
      <c r="N106" s="78"/>
      <c r="O106" s="791"/>
      <c r="P106" s="798"/>
      <c r="Q106" s="798"/>
      <c r="R106" s="809"/>
      <c r="S106" s="79"/>
      <c r="T106" s="79"/>
    </row>
    <row r="107" spans="1:18" s="244" customFormat="1" ht="21.75" customHeight="1">
      <c r="A107" s="268" t="s">
        <v>123</v>
      </c>
      <c r="B107" s="237" t="s">
        <v>1140</v>
      </c>
      <c r="C107" s="238" t="s">
        <v>1141</v>
      </c>
      <c r="D107" s="197" t="s">
        <v>175</v>
      </c>
      <c r="E107" s="239">
        <f>SUM(D108:D109)</f>
        <v>38</v>
      </c>
      <c r="F107" s="239"/>
      <c r="G107" s="240">
        <f>$E107*F107</f>
        <v>0</v>
      </c>
      <c r="H107" s="241">
        <v>0.02278</v>
      </c>
      <c r="I107" s="242">
        <f>E107*H107</f>
        <v>0.8656400000000001</v>
      </c>
      <c r="J107" s="243">
        <v>0</v>
      </c>
      <c r="K107" s="241">
        <f>E107*J107</f>
        <v>0</v>
      </c>
      <c r="L107" s="241"/>
      <c r="O107" s="796"/>
      <c r="P107" s="811"/>
      <c r="Q107" s="811"/>
      <c r="R107" s="818"/>
    </row>
    <row r="108" spans="1:18" s="251" customFormat="1" ht="17.25" customHeight="1">
      <c r="A108" s="196"/>
      <c r="B108" s="706" t="s">
        <v>1546</v>
      </c>
      <c r="C108" s="716" t="s">
        <v>1922</v>
      </c>
      <c r="D108" s="717">
        <f>2+6+12</f>
        <v>20</v>
      </c>
      <c r="E108" s="718"/>
      <c r="F108" s="718"/>
      <c r="G108" s="719"/>
      <c r="H108" s="249"/>
      <c r="I108" s="250"/>
      <c r="J108" s="250"/>
      <c r="K108" s="250"/>
      <c r="L108" s="250"/>
      <c r="O108" s="796"/>
      <c r="P108" s="811"/>
      <c r="Q108" s="811"/>
      <c r="R108" s="812"/>
    </row>
    <row r="109" spans="1:18" s="251" customFormat="1" ht="17.25" customHeight="1">
      <c r="A109" s="196"/>
      <c r="B109" s="706" t="s">
        <v>1548</v>
      </c>
      <c r="C109" s="765" t="s">
        <v>1923</v>
      </c>
      <c r="D109" s="717">
        <f>6+6+6</f>
        <v>18</v>
      </c>
      <c r="E109" s="718"/>
      <c r="F109" s="718"/>
      <c r="G109" s="719"/>
      <c r="H109" s="249"/>
      <c r="I109" s="250"/>
      <c r="J109" s="250"/>
      <c r="K109" s="250"/>
      <c r="L109" s="250"/>
      <c r="O109" s="796"/>
      <c r="P109" s="811"/>
      <c r="Q109" s="811"/>
      <c r="R109" s="812"/>
    </row>
    <row r="110" spans="1:20" s="80" customFormat="1" ht="14" thickBot="1">
      <c r="A110" s="218"/>
      <c r="B110" s="219"/>
      <c r="C110" s="220"/>
      <c r="D110" s="221"/>
      <c r="E110" s="222"/>
      <c r="F110" s="223"/>
      <c r="G110" s="224"/>
      <c r="H110" s="77"/>
      <c r="I110" s="77"/>
      <c r="J110" s="77"/>
      <c r="K110" s="77"/>
      <c r="L110" s="77"/>
      <c r="M110" s="77"/>
      <c r="N110" s="78"/>
      <c r="O110" s="791"/>
      <c r="P110" s="798"/>
      <c r="Q110" s="798"/>
      <c r="R110" s="809"/>
      <c r="S110" s="79"/>
      <c r="T110" s="79"/>
    </row>
    <row r="111" spans="1:20" s="80" customFormat="1" ht="13" thickBot="1">
      <c r="A111" s="225"/>
      <c r="B111" s="226"/>
      <c r="C111" s="227" t="s">
        <v>113</v>
      </c>
      <c r="D111" s="226"/>
      <c r="E111" s="228"/>
      <c r="F111" s="229"/>
      <c r="G111" s="230">
        <f>SUBTOTAL(9,G106:G110)</f>
        <v>0</v>
      </c>
      <c r="H111" s="77"/>
      <c r="I111" s="77"/>
      <c r="J111" s="77"/>
      <c r="K111" s="77"/>
      <c r="L111" s="77"/>
      <c r="M111" s="77"/>
      <c r="N111" s="78"/>
      <c r="O111" s="791"/>
      <c r="P111" s="798"/>
      <c r="Q111" s="798"/>
      <c r="R111" s="809"/>
      <c r="S111" s="79"/>
      <c r="T111" s="79"/>
    </row>
    <row r="112" spans="1:20" s="80" customFormat="1" ht="13" thickBot="1">
      <c r="A112" s="179"/>
      <c r="B112" s="180"/>
      <c r="C112" s="180"/>
      <c r="D112" s="180"/>
      <c r="E112" s="180"/>
      <c r="F112" s="180"/>
      <c r="G112" s="181"/>
      <c r="H112" s="77"/>
      <c r="I112" s="77"/>
      <c r="J112" s="77"/>
      <c r="K112" s="77"/>
      <c r="L112" s="77"/>
      <c r="M112" s="77"/>
      <c r="N112" s="78"/>
      <c r="O112" s="791"/>
      <c r="P112" s="798"/>
      <c r="Q112" s="798"/>
      <c r="R112" s="809"/>
      <c r="S112" s="79"/>
      <c r="T112" s="79"/>
    </row>
    <row r="113" spans="1:7" ht="17.25" customHeight="1" thickBot="1">
      <c r="A113" s="182" t="s">
        <v>98</v>
      </c>
      <c r="B113" s="183"/>
      <c r="C113" s="184" t="s">
        <v>294</v>
      </c>
      <c r="D113" s="397"/>
      <c r="E113" s="398"/>
      <c r="F113" s="187"/>
      <c r="G113" s="399"/>
    </row>
    <row r="114" spans="1:7" ht="12.75">
      <c r="A114" s="189"/>
      <c r="B114" s="400"/>
      <c r="C114" s="232"/>
      <c r="D114" s="233"/>
      <c r="E114" s="401"/>
      <c r="F114" s="402"/>
      <c r="G114" s="403"/>
    </row>
    <row r="115" spans="1:20" s="204" customFormat="1" ht="12.75">
      <c r="A115" s="455"/>
      <c r="B115" s="305"/>
      <c r="C115" s="254" t="s">
        <v>1476</v>
      </c>
      <c r="D115" s="305"/>
      <c r="E115" s="586"/>
      <c r="F115" s="586"/>
      <c r="G115" s="756"/>
      <c r="H115" s="85"/>
      <c r="I115" s="85"/>
      <c r="J115" s="85"/>
      <c r="K115" s="85"/>
      <c r="L115" s="85"/>
      <c r="M115" s="85"/>
      <c r="N115" s="202"/>
      <c r="O115" s="203"/>
      <c r="P115" s="203"/>
      <c r="Q115" s="203"/>
      <c r="R115" s="203"/>
      <c r="S115" s="203"/>
      <c r="T115" s="203"/>
    </row>
    <row r="116" spans="1:20" s="204" customFormat="1" ht="24" customHeight="1">
      <c r="A116" s="268" t="s">
        <v>156</v>
      </c>
      <c r="B116" s="197" t="s">
        <v>1437</v>
      </c>
      <c r="C116" s="136" t="s">
        <v>1436</v>
      </c>
      <c r="D116" s="198" t="s">
        <v>46</v>
      </c>
      <c r="E116" s="199">
        <f>SUM(D117:D118)</f>
        <v>216</v>
      </c>
      <c r="F116" s="199"/>
      <c r="G116" s="200">
        <f>E116*F116</f>
        <v>0</v>
      </c>
      <c r="H116" s="201">
        <v>0</v>
      </c>
      <c r="I116" s="201">
        <f>E116*H116</f>
        <v>0</v>
      </c>
      <c r="J116" s="85">
        <v>0</v>
      </c>
      <c r="K116" s="85">
        <f>E116*J116</f>
        <v>0</v>
      </c>
      <c r="L116" s="85"/>
      <c r="M116" s="85"/>
      <c r="N116" s="202"/>
      <c r="O116" s="203"/>
      <c r="P116" s="203"/>
      <c r="Q116" s="203"/>
      <c r="R116" s="203"/>
      <c r="S116" s="203"/>
      <c r="T116" s="203"/>
    </row>
    <row r="117" spans="1:20" s="596" customFormat="1" ht="24" customHeight="1">
      <c r="A117" s="683"/>
      <c r="B117" s="681" t="s">
        <v>1460</v>
      </c>
      <c r="C117" s="678" t="s">
        <v>1929</v>
      </c>
      <c r="D117" s="685">
        <f>(76.1+25.5+11.6)*0.3+0.04</f>
        <v>33.99999999999999</v>
      </c>
      <c r="E117" s="679"/>
      <c r="F117" s="679"/>
      <c r="G117" s="680"/>
      <c r="H117" s="592"/>
      <c r="I117" s="592"/>
      <c r="J117" s="593"/>
      <c r="K117" s="593"/>
      <c r="L117" s="593"/>
      <c r="M117" s="593"/>
      <c r="N117" s="594"/>
      <c r="O117" s="595"/>
      <c r="P117" s="595"/>
      <c r="Q117" s="595"/>
      <c r="R117" s="595"/>
      <c r="S117" s="595"/>
      <c r="T117" s="595"/>
    </row>
    <row r="118" spans="1:20" s="596" customFormat="1" ht="24" customHeight="1">
      <c r="A118" s="683"/>
      <c r="B118" s="682" t="s">
        <v>1461</v>
      </c>
      <c r="C118" s="678" t="s">
        <v>1930</v>
      </c>
      <c r="D118" s="685">
        <f>(53.9+25.5+11.6)*2</f>
        <v>182</v>
      </c>
      <c r="E118" s="679"/>
      <c r="F118" s="679"/>
      <c r="G118" s="680"/>
      <c r="H118" s="592"/>
      <c r="I118" s="592"/>
      <c r="J118" s="593"/>
      <c r="K118" s="593"/>
      <c r="L118" s="593"/>
      <c r="M118" s="593"/>
      <c r="N118" s="594"/>
      <c r="O118" s="595"/>
      <c r="P118" s="595"/>
      <c r="Q118" s="595"/>
      <c r="R118" s="595"/>
      <c r="S118" s="595"/>
      <c r="T118" s="595"/>
    </row>
    <row r="119" spans="1:20" s="204" customFormat="1" ht="24" customHeight="1">
      <c r="A119" s="268" t="s">
        <v>159</v>
      </c>
      <c r="B119" s="197" t="s">
        <v>1411</v>
      </c>
      <c r="C119" s="136" t="s">
        <v>1412</v>
      </c>
      <c r="D119" s="198" t="s">
        <v>46</v>
      </c>
      <c r="E119" s="199">
        <f>SUM(D120:D121)</f>
        <v>216</v>
      </c>
      <c r="F119" s="199"/>
      <c r="G119" s="200">
        <f>E119*F119</f>
        <v>0</v>
      </c>
      <c r="H119" s="201">
        <v>0</v>
      </c>
      <c r="I119" s="201">
        <f>E119*H119</f>
        <v>0</v>
      </c>
      <c r="J119" s="85">
        <v>0</v>
      </c>
      <c r="K119" s="85">
        <f>E119*J119</f>
        <v>0</v>
      </c>
      <c r="L119" s="85"/>
      <c r="M119" s="85"/>
      <c r="N119" s="202"/>
      <c r="O119" s="203"/>
      <c r="P119" s="203"/>
      <c r="Q119" s="203"/>
      <c r="R119" s="203"/>
      <c r="S119" s="203"/>
      <c r="T119" s="203"/>
    </row>
    <row r="120" spans="1:20" s="596" customFormat="1" ht="24" customHeight="1">
      <c r="A120" s="683"/>
      <c r="B120" s="681" t="s">
        <v>1460</v>
      </c>
      <c r="C120" s="678" t="s">
        <v>1929</v>
      </c>
      <c r="D120" s="685">
        <f>(76.1+25.5+11.6)*0.3+0.04</f>
        <v>33.99999999999999</v>
      </c>
      <c r="E120" s="679"/>
      <c r="F120" s="679"/>
      <c r="G120" s="680"/>
      <c r="H120" s="592"/>
      <c r="I120" s="592"/>
      <c r="J120" s="593"/>
      <c r="K120" s="593"/>
      <c r="L120" s="593"/>
      <c r="M120" s="593"/>
      <c r="N120" s="594"/>
      <c r="O120" s="595"/>
      <c r="P120" s="595"/>
      <c r="Q120" s="595"/>
      <c r="R120" s="595"/>
      <c r="S120" s="595"/>
      <c r="T120" s="595"/>
    </row>
    <row r="121" spans="1:20" s="596" customFormat="1" ht="24" customHeight="1">
      <c r="A121" s="683"/>
      <c r="B121" s="682" t="s">
        <v>1461</v>
      </c>
      <c r="C121" s="678" t="s">
        <v>1930</v>
      </c>
      <c r="D121" s="685">
        <f>(53.9+25.5+11.6)*2</f>
        <v>182</v>
      </c>
      <c r="E121" s="679"/>
      <c r="F121" s="679"/>
      <c r="G121" s="680"/>
      <c r="H121" s="592"/>
      <c r="I121" s="592"/>
      <c r="J121" s="593"/>
      <c r="K121" s="593"/>
      <c r="L121" s="593"/>
      <c r="M121" s="593"/>
      <c r="N121" s="594"/>
      <c r="O121" s="595"/>
      <c r="P121" s="595"/>
      <c r="Q121" s="595"/>
      <c r="R121" s="595"/>
      <c r="S121" s="595"/>
      <c r="T121" s="595"/>
    </row>
    <row r="122" spans="1:20" s="204" customFormat="1" ht="24" customHeight="1">
      <c r="A122" s="268" t="s">
        <v>162</v>
      </c>
      <c r="B122" s="197" t="s">
        <v>1413</v>
      </c>
      <c r="C122" s="136" t="s">
        <v>1414</v>
      </c>
      <c r="D122" s="198" t="s">
        <v>181</v>
      </c>
      <c r="E122" s="199">
        <f>E119*0.127</f>
        <v>27.432000000000002</v>
      </c>
      <c r="F122" s="199"/>
      <c r="G122" s="200">
        <f>E122*F122</f>
        <v>0</v>
      </c>
      <c r="H122" s="201">
        <v>0</v>
      </c>
      <c r="I122" s="201">
        <f>E122*H122</f>
        <v>0</v>
      </c>
      <c r="J122" s="85">
        <v>0</v>
      </c>
      <c r="K122" s="85">
        <f>E122*J122</f>
        <v>0</v>
      </c>
      <c r="L122" s="85"/>
      <c r="M122" s="85"/>
      <c r="N122" s="202"/>
      <c r="O122" s="203"/>
      <c r="P122" s="203"/>
      <c r="Q122" s="203"/>
      <c r="R122" s="203"/>
      <c r="S122" s="203"/>
      <c r="T122" s="203"/>
    </row>
    <row r="123" spans="1:20" s="204" customFormat="1" ht="30.75" customHeight="1">
      <c r="A123" s="268" t="s">
        <v>164</v>
      </c>
      <c r="B123" s="197" t="s">
        <v>1415</v>
      </c>
      <c r="C123" s="136" t="s">
        <v>1416</v>
      </c>
      <c r="D123" s="198" t="s">
        <v>46</v>
      </c>
      <c r="E123" s="199">
        <f>SUM(D124)</f>
        <v>33.99999999999999</v>
      </c>
      <c r="F123" s="199"/>
      <c r="G123" s="200">
        <f>E123*F123</f>
        <v>0</v>
      </c>
      <c r="H123" s="201">
        <v>0</v>
      </c>
      <c r="I123" s="201">
        <f>E123*H123</f>
        <v>0</v>
      </c>
      <c r="J123" s="85">
        <v>0</v>
      </c>
      <c r="K123" s="85">
        <f>E123*J123</f>
        <v>0</v>
      </c>
      <c r="L123" s="85"/>
      <c r="M123" s="85"/>
      <c r="N123" s="202"/>
      <c r="O123" s="203"/>
      <c r="P123" s="203"/>
      <c r="Q123" s="203"/>
      <c r="R123" s="203"/>
      <c r="S123" s="203"/>
      <c r="T123" s="203"/>
    </row>
    <row r="124" spans="1:20" s="596" customFormat="1" ht="24" customHeight="1">
      <c r="A124" s="683"/>
      <c r="B124" s="681" t="s">
        <v>1460</v>
      </c>
      <c r="C124" s="678" t="s">
        <v>1929</v>
      </c>
      <c r="D124" s="685">
        <f>(76.1+25.5+11.6)*0.3+0.04</f>
        <v>33.99999999999999</v>
      </c>
      <c r="E124" s="679"/>
      <c r="F124" s="679"/>
      <c r="G124" s="680"/>
      <c r="H124" s="592"/>
      <c r="I124" s="592"/>
      <c r="J124" s="593"/>
      <c r="K124" s="593"/>
      <c r="L124" s="593"/>
      <c r="M124" s="593"/>
      <c r="N124" s="594"/>
      <c r="O124" s="595"/>
      <c r="P124" s="595"/>
      <c r="Q124" s="595"/>
      <c r="R124" s="595"/>
      <c r="S124" s="595"/>
      <c r="T124" s="595"/>
    </row>
    <row r="125" spans="1:20" s="204" customFormat="1" ht="24" customHeight="1">
      <c r="A125" s="268" t="s">
        <v>363</v>
      </c>
      <c r="B125" s="197" t="s">
        <v>1417</v>
      </c>
      <c r="C125" s="136" t="s">
        <v>1418</v>
      </c>
      <c r="D125" s="198" t="s">
        <v>181</v>
      </c>
      <c r="E125" s="199">
        <f>E123*1.5</f>
        <v>50.999999999999986</v>
      </c>
      <c r="F125" s="199"/>
      <c r="G125" s="200">
        <f>E125*F125</f>
        <v>0</v>
      </c>
      <c r="H125" s="201">
        <v>0.001</v>
      </c>
      <c r="I125" s="201">
        <f>E125*H125</f>
        <v>0.05099999999999999</v>
      </c>
      <c r="J125" s="85">
        <v>0</v>
      </c>
      <c r="K125" s="85">
        <f>E125*J125</f>
        <v>0</v>
      </c>
      <c r="L125" s="85"/>
      <c r="M125" s="85"/>
      <c r="N125" s="202"/>
      <c r="O125" s="203"/>
      <c r="P125" s="203"/>
      <c r="Q125" s="203"/>
      <c r="R125" s="203"/>
      <c r="S125" s="203"/>
      <c r="T125" s="203"/>
    </row>
    <row r="126" spans="1:20" s="204" customFormat="1" ht="24" customHeight="1">
      <c r="A126" s="268" t="s">
        <v>364</v>
      </c>
      <c r="B126" s="197" t="s">
        <v>1411</v>
      </c>
      <c r="C126" s="136" t="s">
        <v>1454</v>
      </c>
      <c r="D126" s="198" t="s">
        <v>46</v>
      </c>
      <c r="E126" s="199">
        <f>SUM(D127:D127)</f>
        <v>33.99999999999999</v>
      </c>
      <c r="F126" s="199"/>
      <c r="G126" s="200">
        <f>E126*F126</f>
        <v>0</v>
      </c>
      <c r="H126" s="201">
        <v>0</v>
      </c>
      <c r="I126" s="201">
        <f>E126*H126</f>
        <v>0</v>
      </c>
      <c r="J126" s="85">
        <v>0</v>
      </c>
      <c r="K126" s="85">
        <f>E126*J126</f>
        <v>0</v>
      </c>
      <c r="L126" s="85"/>
      <c r="M126" s="85"/>
      <c r="N126" s="202"/>
      <c r="O126" s="203"/>
      <c r="P126" s="203"/>
      <c r="Q126" s="203"/>
      <c r="R126" s="203"/>
      <c r="S126" s="203"/>
      <c r="T126" s="203"/>
    </row>
    <row r="127" spans="1:20" s="596" customFormat="1" ht="24" customHeight="1">
      <c r="A127" s="683"/>
      <c r="B127" s="681" t="s">
        <v>1460</v>
      </c>
      <c r="C127" s="678" t="s">
        <v>1929</v>
      </c>
      <c r="D127" s="685">
        <f>(76.1+25.5+11.6)*0.3+0.04</f>
        <v>33.99999999999999</v>
      </c>
      <c r="E127" s="679"/>
      <c r="F127" s="679"/>
      <c r="G127" s="680"/>
      <c r="H127" s="592"/>
      <c r="I127" s="592"/>
      <c r="J127" s="593"/>
      <c r="K127" s="593"/>
      <c r="L127" s="593"/>
      <c r="M127" s="593"/>
      <c r="N127" s="594"/>
      <c r="O127" s="595"/>
      <c r="P127" s="595"/>
      <c r="Q127" s="595"/>
      <c r="R127" s="595"/>
      <c r="S127" s="595"/>
      <c r="T127" s="595"/>
    </row>
    <row r="128" spans="1:20" s="204" customFormat="1" ht="24" customHeight="1">
      <c r="A128" s="268" t="s">
        <v>365</v>
      </c>
      <c r="B128" s="197" t="s">
        <v>1419</v>
      </c>
      <c r="C128" s="136" t="s">
        <v>1420</v>
      </c>
      <c r="D128" s="198" t="s">
        <v>181</v>
      </c>
      <c r="E128" s="199">
        <f>E126*0.127</f>
        <v>4.317999999999999</v>
      </c>
      <c r="F128" s="199"/>
      <c r="G128" s="200">
        <f>E128*F128</f>
        <v>0</v>
      </c>
      <c r="H128" s="201">
        <v>0</v>
      </c>
      <c r="I128" s="201">
        <f>E128*H128</f>
        <v>0</v>
      </c>
      <c r="J128" s="85">
        <v>0</v>
      </c>
      <c r="K128" s="85">
        <f>E128*J128</f>
        <v>0</v>
      </c>
      <c r="L128" s="85"/>
      <c r="M128" s="85"/>
      <c r="N128" s="202"/>
      <c r="O128" s="203"/>
      <c r="P128" s="203"/>
      <c r="Q128" s="203"/>
      <c r="R128" s="203"/>
      <c r="S128" s="203"/>
      <c r="T128" s="203"/>
    </row>
    <row r="129" spans="1:20" s="204" customFormat="1" ht="30" customHeight="1">
      <c r="A129" s="268" t="s">
        <v>366</v>
      </c>
      <c r="B129" s="197" t="s">
        <v>1467</v>
      </c>
      <c r="C129" s="136" t="s">
        <v>1440</v>
      </c>
      <c r="D129" s="198" t="s">
        <v>46</v>
      </c>
      <c r="E129" s="199">
        <f>SUM(D130:D130)</f>
        <v>33.99999999999999</v>
      </c>
      <c r="F129" s="199"/>
      <c r="G129" s="200">
        <f>E129*F129</f>
        <v>0</v>
      </c>
      <c r="H129" s="201">
        <v>0.0234</v>
      </c>
      <c r="I129" s="201">
        <f>E129*H129</f>
        <v>0.7955999999999999</v>
      </c>
      <c r="J129" s="85">
        <v>0</v>
      </c>
      <c r="K129" s="85">
        <f>E129*J129</f>
        <v>0</v>
      </c>
      <c r="L129" s="85"/>
      <c r="M129" s="85"/>
      <c r="N129" s="202"/>
      <c r="O129" s="203"/>
      <c r="P129" s="203"/>
      <c r="Q129" s="203"/>
      <c r="R129" s="203"/>
      <c r="S129" s="203"/>
      <c r="T129" s="203"/>
    </row>
    <row r="130" spans="1:20" s="596" customFormat="1" ht="24" customHeight="1">
      <c r="A130" s="683"/>
      <c r="B130" s="681" t="s">
        <v>1460</v>
      </c>
      <c r="C130" s="678" t="s">
        <v>1929</v>
      </c>
      <c r="D130" s="685">
        <f>(76.1+25.5+11.6)*0.3+0.04</f>
        <v>33.99999999999999</v>
      </c>
      <c r="E130" s="679"/>
      <c r="F130" s="679"/>
      <c r="G130" s="680"/>
      <c r="H130" s="592"/>
      <c r="I130" s="592"/>
      <c r="J130" s="593"/>
      <c r="K130" s="593"/>
      <c r="L130" s="593"/>
      <c r="M130" s="593"/>
      <c r="N130" s="594"/>
      <c r="O130" s="595"/>
      <c r="P130" s="595"/>
      <c r="Q130" s="595"/>
      <c r="R130" s="595"/>
      <c r="S130" s="595"/>
      <c r="T130" s="595"/>
    </row>
    <row r="131" spans="1:20" s="204" customFormat="1" ht="24" customHeight="1">
      <c r="A131" s="268" t="s">
        <v>367</v>
      </c>
      <c r="B131" s="197" t="s">
        <v>1466</v>
      </c>
      <c r="C131" s="136" t="s">
        <v>1465</v>
      </c>
      <c r="D131" s="198" t="s">
        <v>46</v>
      </c>
      <c r="E131" s="199">
        <f>SUM(D132)</f>
        <v>195.6</v>
      </c>
      <c r="F131" s="199"/>
      <c r="G131" s="200">
        <f>E131*F131</f>
        <v>0</v>
      </c>
      <c r="H131" s="201">
        <v>0.01325</v>
      </c>
      <c r="I131" s="201">
        <f>E131*H131</f>
        <v>2.5917</v>
      </c>
      <c r="J131" s="85">
        <v>0</v>
      </c>
      <c r="K131" s="85">
        <f>E131*J131</f>
        <v>0</v>
      </c>
      <c r="L131" s="85"/>
      <c r="M131" s="85"/>
      <c r="N131" s="202"/>
      <c r="O131" s="203"/>
      <c r="P131" s="203"/>
      <c r="Q131" s="203"/>
      <c r="R131" s="203"/>
      <c r="S131" s="203"/>
      <c r="T131" s="203"/>
    </row>
    <row r="132" spans="1:20" s="596" customFormat="1" ht="24" customHeight="1">
      <c r="A132" s="683"/>
      <c r="B132" s="682" t="s">
        <v>1461</v>
      </c>
      <c r="C132" s="678" t="s">
        <v>2433</v>
      </c>
      <c r="D132" s="685">
        <f>(53.9+25.5+11.6+6.8)*2</f>
        <v>195.6</v>
      </c>
      <c r="E132" s="679"/>
      <c r="F132" s="679"/>
      <c r="G132" s="680"/>
      <c r="H132" s="592"/>
      <c r="I132" s="592"/>
      <c r="J132" s="593"/>
      <c r="K132" s="593"/>
      <c r="L132" s="593"/>
      <c r="M132" s="593"/>
      <c r="N132" s="594"/>
      <c r="O132" s="595"/>
      <c r="P132" s="595"/>
      <c r="Q132" s="595"/>
      <c r="R132" s="595"/>
      <c r="S132" s="595"/>
      <c r="T132" s="595"/>
    </row>
    <row r="133" spans="1:20" s="204" customFormat="1" ht="24" customHeight="1">
      <c r="A133" s="268" t="s">
        <v>493</v>
      </c>
      <c r="B133" s="197">
        <v>612321121</v>
      </c>
      <c r="C133" s="136" t="s">
        <v>2432</v>
      </c>
      <c r="D133" s="198" t="s">
        <v>46</v>
      </c>
      <c r="E133" s="199">
        <f>SUM(D134)</f>
        <v>195.6</v>
      </c>
      <c r="F133" s="199"/>
      <c r="G133" s="200">
        <f>E133*F133</f>
        <v>0</v>
      </c>
      <c r="H133" s="201">
        <v>0.0154</v>
      </c>
      <c r="I133" s="201">
        <f>E133*H133</f>
        <v>3.01224</v>
      </c>
      <c r="J133" s="85">
        <v>0</v>
      </c>
      <c r="K133" s="85">
        <f>E133*J133</f>
        <v>0</v>
      </c>
      <c r="L133" s="85"/>
      <c r="M133" s="85"/>
      <c r="N133" s="202"/>
      <c r="O133" s="203"/>
      <c r="P133" s="203"/>
      <c r="Q133" s="203"/>
      <c r="R133" s="203"/>
      <c r="S133" s="203"/>
      <c r="T133" s="203"/>
    </row>
    <row r="134" spans="1:20" s="596" customFormat="1" ht="24" customHeight="1">
      <c r="A134" s="683"/>
      <c r="B134" s="682" t="s">
        <v>1461</v>
      </c>
      <c r="C134" s="678" t="s">
        <v>2433</v>
      </c>
      <c r="D134" s="685">
        <f>(53.9+25.5+11.6+6.8)*2</f>
        <v>195.6</v>
      </c>
      <c r="E134" s="679"/>
      <c r="F134" s="679"/>
      <c r="G134" s="680"/>
      <c r="H134" s="592"/>
      <c r="I134" s="592"/>
      <c r="J134" s="593"/>
      <c r="K134" s="593"/>
      <c r="L134" s="593"/>
      <c r="M134" s="593"/>
      <c r="N134" s="594"/>
      <c r="O134" s="595"/>
      <c r="P134" s="595"/>
      <c r="Q134" s="595"/>
      <c r="R134" s="595"/>
      <c r="S134" s="595"/>
      <c r="T134" s="595"/>
    </row>
    <row r="135" spans="1:20" s="204" customFormat="1" ht="24" customHeight="1">
      <c r="A135" s="268" t="s">
        <v>494</v>
      </c>
      <c r="B135" s="197">
        <v>612142001</v>
      </c>
      <c r="C135" s="136" t="s">
        <v>132</v>
      </c>
      <c r="D135" s="198" t="s">
        <v>46</v>
      </c>
      <c r="E135" s="199">
        <f>SUM(D136:D137)</f>
        <v>7.359999999999999</v>
      </c>
      <c r="F135" s="199"/>
      <c r="G135" s="200">
        <f>E135*F135</f>
        <v>0</v>
      </c>
      <c r="H135" s="201">
        <v>0.00438</v>
      </c>
      <c r="I135" s="201">
        <f>E135*H135</f>
        <v>0.032236799999999996</v>
      </c>
      <c r="J135" s="85">
        <v>0</v>
      </c>
      <c r="K135" s="85">
        <f>E135*J135</f>
        <v>0</v>
      </c>
      <c r="L135" s="85"/>
      <c r="M135" s="85"/>
      <c r="N135" s="202"/>
      <c r="O135" s="203"/>
      <c r="P135" s="203"/>
      <c r="Q135" s="203"/>
      <c r="R135" s="203"/>
      <c r="S135" s="203"/>
      <c r="T135" s="203"/>
    </row>
    <row r="136" spans="1:12" s="251" customFormat="1" ht="17.25" customHeight="1">
      <c r="A136" s="683"/>
      <c r="B136" s="205"/>
      <c r="C136" s="245" t="s">
        <v>1911</v>
      </c>
      <c r="D136" s="246">
        <f>1.88*2</f>
        <v>3.76</v>
      </c>
      <c r="E136" s="247"/>
      <c r="F136" s="247"/>
      <c r="G136" s="248"/>
      <c r="H136" s="249"/>
      <c r="I136" s="250"/>
      <c r="J136" s="250"/>
      <c r="K136" s="250"/>
      <c r="L136" s="250"/>
    </row>
    <row r="137" spans="1:12" s="251" customFormat="1" ht="17.25" customHeight="1">
      <c r="A137" s="196"/>
      <c r="B137" s="205"/>
      <c r="C137" s="245" t="s">
        <v>1931</v>
      </c>
      <c r="D137" s="246">
        <f>1.8*2</f>
        <v>3.6</v>
      </c>
      <c r="E137" s="247"/>
      <c r="F137" s="247"/>
      <c r="G137" s="248"/>
      <c r="H137" s="249"/>
      <c r="I137" s="250"/>
      <c r="J137" s="250"/>
      <c r="K137" s="250"/>
      <c r="L137" s="250"/>
    </row>
    <row r="138" spans="1:20" s="204" customFormat="1" ht="24" customHeight="1">
      <c r="A138" s="268" t="s">
        <v>495</v>
      </c>
      <c r="B138" s="197">
        <v>612311131</v>
      </c>
      <c r="C138" s="136" t="s">
        <v>134</v>
      </c>
      <c r="D138" s="198" t="s">
        <v>46</v>
      </c>
      <c r="E138" s="199">
        <f>E135</f>
        <v>7.359999999999999</v>
      </c>
      <c r="F138" s="199"/>
      <c r="G138" s="200">
        <f>E138*F138</f>
        <v>0</v>
      </c>
      <c r="H138" s="201">
        <v>0.003</v>
      </c>
      <c r="I138" s="201">
        <f>E138*H138</f>
        <v>0.02208</v>
      </c>
      <c r="J138" s="85">
        <v>0</v>
      </c>
      <c r="K138" s="85">
        <f>E138*J138</f>
        <v>0</v>
      </c>
      <c r="L138" s="85"/>
      <c r="M138" s="85"/>
      <c r="N138" s="202"/>
      <c r="O138" s="203"/>
      <c r="P138" s="203"/>
      <c r="Q138" s="203"/>
      <c r="R138" s="203"/>
      <c r="S138" s="203"/>
      <c r="T138" s="203"/>
    </row>
    <row r="139" spans="1:20" s="271" customFormat="1" ht="12.75">
      <c r="A139" s="268"/>
      <c r="B139" s="269"/>
      <c r="C139" s="270"/>
      <c r="D139" s="269"/>
      <c r="E139" s="669"/>
      <c r="F139" s="669"/>
      <c r="G139" s="274"/>
      <c r="H139" s="85"/>
      <c r="I139" s="85"/>
      <c r="J139" s="85"/>
      <c r="K139" s="85"/>
      <c r="L139" s="85"/>
      <c r="M139" s="85"/>
      <c r="N139" s="202"/>
      <c r="O139" s="203"/>
      <c r="P139" s="203"/>
      <c r="Q139" s="203"/>
      <c r="R139" s="203"/>
      <c r="S139" s="203"/>
      <c r="T139" s="203"/>
    </row>
    <row r="140" spans="1:20" s="271" customFormat="1" ht="13">
      <c r="A140" s="268" t="s">
        <v>496</v>
      </c>
      <c r="B140" s="674" t="s">
        <v>1574</v>
      </c>
      <c r="C140" s="270" t="s">
        <v>261</v>
      </c>
      <c r="D140" s="269" t="s">
        <v>46</v>
      </c>
      <c r="E140" s="199">
        <f>SUM(D141:D142)</f>
        <v>434.7</v>
      </c>
      <c r="F140" s="199"/>
      <c r="G140" s="200">
        <f>E140*F140</f>
        <v>0</v>
      </c>
      <c r="H140" s="85">
        <v>0.017</v>
      </c>
      <c r="I140" s="201">
        <f>E140*H140</f>
        <v>7.3899</v>
      </c>
      <c r="J140" s="85">
        <v>0</v>
      </c>
      <c r="K140" s="85">
        <f>E140*J140</f>
        <v>0</v>
      </c>
      <c r="L140" s="85"/>
      <c r="M140" s="85"/>
      <c r="N140" s="202"/>
      <c r="O140" s="203"/>
      <c r="P140" s="203"/>
      <c r="Q140" s="203"/>
      <c r="R140" s="203"/>
      <c r="S140" s="203"/>
      <c r="T140" s="203"/>
    </row>
    <row r="141" spans="1:20" s="214" customFormat="1" ht="21.75" customHeight="1">
      <c r="A141" s="196"/>
      <c r="B141" s="205"/>
      <c r="C141" s="206" t="s">
        <v>1927</v>
      </c>
      <c r="D141" s="207">
        <f>11.8*4.5+26*1.15*2+1.2*4.5*2+1.3*0.9*2+25.5*3.4+11.6*0.9+19*3.9*2-0.04</f>
        <v>371.34</v>
      </c>
      <c r="E141" s="208"/>
      <c r="F141" s="208"/>
      <c r="G141" s="209"/>
      <c r="H141" s="210"/>
      <c r="I141" s="210"/>
      <c r="J141" s="211"/>
      <c r="K141" s="673"/>
      <c r="L141" s="705"/>
      <c r="M141" s="211"/>
      <c r="N141" s="212"/>
      <c r="O141" s="213"/>
      <c r="P141" s="213"/>
      <c r="Q141" s="213"/>
      <c r="R141" s="213"/>
      <c r="S141" s="213"/>
      <c r="T141" s="213"/>
    </row>
    <row r="142" spans="1:20" s="596" customFormat="1" ht="21.75" customHeight="1">
      <c r="A142" s="856"/>
      <c r="B142" s="857" t="s">
        <v>1948</v>
      </c>
      <c r="C142" s="858" t="s">
        <v>1926</v>
      </c>
      <c r="D142" s="859">
        <f>0.6*4*3.3*8</f>
        <v>63.35999999999999</v>
      </c>
      <c r="E142" s="846"/>
      <c r="F142" s="760"/>
      <c r="G142" s="761"/>
      <c r="H142" s="593"/>
      <c r="I142" s="593"/>
      <c r="J142" s="592"/>
      <c r="K142" s="592"/>
      <c r="L142" s="593"/>
      <c r="M142" s="593"/>
      <c r="N142" s="594"/>
      <c r="O142" s="595"/>
      <c r="P142" s="595"/>
      <c r="Q142" s="595"/>
      <c r="R142" s="595"/>
      <c r="S142" s="595"/>
      <c r="T142" s="595"/>
    </row>
    <row r="143" spans="1:20" s="271" customFormat="1" ht="12.75">
      <c r="A143" s="268"/>
      <c r="B143" s="269"/>
      <c r="C143" s="270"/>
      <c r="D143" s="269"/>
      <c r="E143" s="669"/>
      <c r="F143" s="669"/>
      <c r="G143" s="274"/>
      <c r="H143" s="85"/>
      <c r="I143" s="85"/>
      <c r="J143" s="85"/>
      <c r="K143" s="85"/>
      <c r="L143" s="85"/>
      <c r="M143" s="85"/>
      <c r="N143" s="202"/>
      <c r="O143" s="203"/>
      <c r="P143" s="203"/>
      <c r="Q143" s="203"/>
      <c r="R143" s="203"/>
      <c r="S143" s="203"/>
      <c r="T143" s="203"/>
    </row>
    <row r="144" spans="1:20" s="271" customFormat="1" ht="21.75" customHeight="1">
      <c r="A144" s="268"/>
      <c r="B144" s="269"/>
      <c r="C144" s="254" t="s">
        <v>135</v>
      </c>
      <c r="D144" s="269"/>
      <c r="E144" s="669"/>
      <c r="F144" s="669"/>
      <c r="G144" s="274"/>
      <c r="H144" s="85"/>
      <c r="I144" s="85"/>
      <c r="J144" s="85"/>
      <c r="K144" s="85"/>
      <c r="L144" s="85"/>
      <c r="M144" s="85"/>
      <c r="N144" s="202"/>
      <c r="O144" s="203"/>
      <c r="P144" s="203"/>
      <c r="Q144" s="203"/>
      <c r="R144" s="203"/>
      <c r="S144" s="203"/>
      <c r="T144" s="203"/>
    </row>
    <row r="145" spans="1:20" s="204" customFormat="1" ht="24" customHeight="1">
      <c r="A145" s="268" t="s">
        <v>497</v>
      </c>
      <c r="B145" s="197" t="s">
        <v>1587</v>
      </c>
      <c r="C145" s="136" t="s">
        <v>1588</v>
      </c>
      <c r="D145" s="198" t="s">
        <v>46</v>
      </c>
      <c r="E145" s="199">
        <v>8.8</v>
      </c>
      <c r="F145" s="199"/>
      <c r="G145" s="240">
        <f>$E145*F145</f>
        <v>0</v>
      </c>
      <c r="H145" s="201">
        <v>0</v>
      </c>
      <c r="I145" s="242">
        <f>E145*H145</f>
        <v>0</v>
      </c>
      <c r="J145" s="243">
        <v>0</v>
      </c>
      <c r="K145" s="241">
        <f>E145*J145</f>
        <v>0</v>
      </c>
      <c r="L145" s="85"/>
      <c r="M145" s="85"/>
      <c r="N145" s="202"/>
      <c r="O145" s="203"/>
      <c r="P145" s="203"/>
      <c r="Q145" s="203"/>
      <c r="R145" s="203"/>
      <c r="S145" s="203"/>
      <c r="T145" s="203"/>
    </row>
    <row r="146" spans="1:20" s="204" customFormat="1" ht="24" customHeight="1">
      <c r="A146" s="268" t="s">
        <v>498</v>
      </c>
      <c r="B146" s="197" t="s">
        <v>1585</v>
      </c>
      <c r="C146" s="136" t="s">
        <v>1586</v>
      </c>
      <c r="D146" s="198" t="s">
        <v>116</v>
      </c>
      <c r="E146" s="199">
        <v>2</v>
      </c>
      <c r="F146" s="199"/>
      <c r="G146" s="240">
        <f>$E146*F146</f>
        <v>0</v>
      </c>
      <c r="H146" s="201">
        <v>0.00105</v>
      </c>
      <c r="I146" s="242">
        <f>E146*H146</f>
        <v>0.0021</v>
      </c>
      <c r="J146" s="243">
        <v>0</v>
      </c>
      <c r="K146" s="241">
        <f>E146*J146</f>
        <v>0</v>
      </c>
      <c r="L146" s="85"/>
      <c r="M146" s="85"/>
      <c r="N146" s="202"/>
      <c r="O146" s="203"/>
      <c r="P146" s="203"/>
      <c r="Q146" s="203"/>
      <c r="R146" s="203"/>
      <c r="S146" s="203"/>
      <c r="T146" s="203"/>
    </row>
    <row r="147" spans="1:20" s="204" customFormat="1" ht="24" customHeight="1">
      <c r="A147" s="268" t="s">
        <v>499</v>
      </c>
      <c r="B147" s="197">
        <v>632681111</v>
      </c>
      <c r="C147" s="136" t="s">
        <v>1589</v>
      </c>
      <c r="D147" s="198" t="s">
        <v>175</v>
      </c>
      <c r="E147" s="199">
        <v>5</v>
      </c>
      <c r="F147" s="199"/>
      <c r="G147" s="240">
        <f>$E147*F147</f>
        <v>0</v>
      </c>
      <c r="H147" s="201">
        <v>9E-05</v>
      </c>
      <c r="I147" s="242">
        <f>E147*H147</f>
        <v>0.00045000000000000004</v>
      </c>
      <c r="J147" s="243">
        <v>0</v>
      </c>
      <c r="K147" s="241">
        <f>E147*J147</f>
        <v>0</v>
      </c>
      <c r="L147" s="85"/>
      <c r="M147" s="85"/>
      <c r="N147" s="202"/>
      <c r="O147" s="203"/>
      <c r="P147" s="203"/>
      <c r="Q147" s="203"/>
      <c r="R147" s="203"/>
      <c r="S147" s="203"/>
      <c r="T147" s="203"/>
    </row>
    <row r="148" spans="1:20" s="204" customFormat="1" ht="21.75" customHeight="1">
      <c r="A148" s="268" t="s">
        <v>500</v>
      </c>
      <c r="B148" s="197">
        <v>711111002</v>
      </c>
      <c r="C148" s="136" t="s">
        <v>1478</v>
      </c>
      <c r="D148" s="198" t="s">
        <v>46</v>
      </c>
      <c r="E148" s="199">
        <f>SUM(D149)</f>
        <v>9.700000000000001</v>
      </c>
      <c r="F148" s="199"/>
      <c r="G148" s="200">
        <f>E148*F148</f>
        <v>0</v>
      </c>
      <c r="H148" s="201">
        <v>0</v>
      </c>
      <c r="I148" s="201">
        <f>E148*H148</f>
        <v>0</v>
      </c>
      <c r="J148" s="85">
        <v>0</v>
      </c>
      <c r="K148" s="85">
        <f>E148*J148</f>
        <v>0</v>
      </c>
      <c r="L148" s="85"/>
      <c r="M148" s="85"/>
      <c r="N148" s="202"/>
      <c r="O148" s="203"/>
      <c r="P148" s="203"/>
      <c r="Q148" s="203"/>
      <c r="R148" s="203"/>
      <c r="S148" s="203"/>
      <c r="T148" s="203"/>
    </row>
    <row r="149" spans="1:20" s="596" customFormat="1" ht="18" customHeight="1">
      <c r="A149" s="720"/>
      <c r="B149" s="721"/>
      <c r="C149" s="206" t="s">
        <v>1933</v>
      </c>
      <c r="D149" s="685">
        <f>(8.8)*1.1+0.02</f>
        <v>9.700000000000001</v>
      </c>
      <c r="E149" s="679"/>
      <c r="F149" s="679"/>
      <c r="G149" s="680"/>
      <c r="H149" s="592"/>
      <c r="I149" s="592"/>
      <c r="J149" s="593"/>
      <c r="K149" s="593"/>
      <c r="L149" s="593"/>
      <c r="M149" s="593"/>
      <c r="N149" s="594"/>
      <c r="O149" s="595"/>
      <c r="P149" s="595"/>
      <c r="Q149" s="595"/>
      <c r="R149" s="595"/>
      <c r="S149" s="595"/>
      <c r="T149" s="595"/>
    </row>
    <row r="150" spans="1:20" s="204" customFormat="1" ht="21.75" customHeight="1">
      <c r="A150" s="268" t="s">
        <v>501</v>
      </c>
      <c r="B150" s="672">
        <v>11163152</v>
      </c>
      <c r="C150" s="667" t="s">
        <v>1479</v>
      </c>
      <c r="D150" s="668" t="s">
        <v>73</v>
      </c>
      <c r="E150" s="867">
        <f>0.00039*E148</f>
        <v>0.0037830000000000003</v>
      </c>
      <c r="F150" s="669"/>
      <c r="G150" s="200">
        <f aca="true" t="shared" si="2" ref="G150:G155">E150*F150</f>
        <v>0</v>
      </c>
      <c r="H150" s="201">
        <v>1</v>
      </c>
      <c r="I150" s="201">
        <f aca="true" t="shared" si="3" ref="I150:I155">E150*H150</f>
        <v>0.0037830000000000003</v>
      </c>
      <c r="J150" s="85">
        <v>0</v>
      </c>
      <c r="K150" s="85">
        <f aca="true" t="shared" si="4" ref="K150:K155">E150*J150</f>
        <v>0</v>
      </c>
      <c r="L150" s="85"/>
      <c r="M150" s="85"/>
      <c r="N150" s="202"/>
      <c r="O150" s="203"/>
      <c r="P150" s="203"/>
      <c r="Q150" s="203"/>
      <c r="R150" s="203"/>
      <c r="S150" s="203"/>
      <c r="T150" s="203"/>
    </row>
    <row r="151" spans="1:20" s="204" customFormat="1" ht="30.75" customHeight="1">
      <c r="A151" s="268" t="s">
        <v>655</v>
      </c>
      <c r="B151" s="663" t="s">
        <v>179</v>
      </c>
      <c r="C151" s="666" t="s">
        <v>1421</v>
      </c>
      <c r="D151" s="664" t="s">
        <v>46</v>
      </c>
      <c r="E151" s="665">
        <f>E148</f>
        <v>9.700000000000001</v>
      </c>
      <c r="F151" s="665"/>
      <c r="G151" s="200">
        <f t="shared" si="2"/>
        <v>0</v>
      </c>
      <c r="H151" s="201">
        <v>0.000127</v>
      </c>
      <c r="I151" s="242">
        <f t="shared" si="3"/>
        <v>0.0012319000000000002</v>
      </c>
      <c r="J151" s="243">
        <v>0</v>
      </c>
      <c r="K151" s="241">
        <f t="shared" si="4"/>
        <v>0</v>
      </c>
      <c r="L151" s="85"/>
      <c r="M151" s="85"/>
      <c r="N151" s="202"/>
      <c r="O151" s="203"/>
      <c r="P151" s="203"/>
      <c r="Q151" s="203"/>
      <c r="R151" s="203"/>
      <c r="S151" s="203"/>
      <c r="T151" s="203"/>
    </row>
    <row r="152" spans="1:20" s="204" customFormat="1" ht="24" customHeight="1">
      <c r="A152" s="268" t="s">
        <v>656</v>
      </c>
      <c r="B152" s="663" t="s">
        <v>1417</v>
      </c>
      <c r="C152" s="666" t="s">
        <v>1482</v>
      </c>
      <c r="D152" s="664" t="s">
        <v>181</v>
      </c>
      <c r="E152" s="665">
        <f>E151*1.5</f>
        <v>14.55</v>
      </c>
      <c r="F152" s="665"/>
      <c r="G152" s="200">
        <f t="shared" si="2"/>
        <v>0</v>
      </c>
      <c r="H152" s="201">
        <v>0</v>
      </c>
      <c r="I152" s="242">
        <f t="shared" si="3"/>
        <v>0</v>
      </c>
      <c r="J152" s="243">
        <v>0</v>
      </c>
      <c r="K152" s="241">
        <f t="shared" si="4"/>
        <v>0</v>
      </c>
      <c r="L152" s="85"/>
      <c r="M152" s="85"/>
      <c r="N152" s="202"/>
      <c r="O152" s="203"/>
      <c r="P152" s="203"/>
      <c r="Q152" s="203"/>
      <c r="R152" s="203"/>
      <c r="S152" s="203"/>
      <c r="T152" s="203"/>
    </row>
    <row r="153" spans="1:20" s="271" customFormat="1" ht="17.25" customHeight="1">
      <c r="A153" s="268" t="s">
        <v>657</v>
      </c>
      <c r="B153" s="269" t="s">
        <v>144</v>
      </c>
      <c r="C153" s="270" t="s">
        <v>1112</v>
      </c>
      <c r="D153" s="269" t="s">
        <v>46</v>
      </c>
      <c r="E153" s="669">
        <v>8.8</v>
      </c>
      <c r="F153" s="669"/>
      <c r="G153" s="200">
        <f t="shared" si="2"/>
        <v>0</v>
      </c>
      <c r="H153" s="85">
        <v>0.11</v>
      </c>
      <c r="I153" s="201">
        <f t="shared" si="3"/>
        <v>0.9680000000000001</v>
      </c>
      <c r="J153" s="85">
        <v>0</v>
      </c>
      <c r="K153" s="85">
        <f t="shared" si="4"/>
        <v>0</v>
      </c>
      <c r="L153" s="85"/>
      <c r="M153" s="85"/>
      <c r="N153" s="202"/>
      <c r="O153" s="203"/>
      <c r="P153" s="203"/>
      <c r="Q153" s="203"/>
      <c r="R153" s="203"/>
      <c r="S153" s="203"/>
      <c r="T153" s="203"/>
    </row>
    <row r="154" spans="1:20" s="271" customFormat="1" ht="22">
      <c r="A154" s="268" t="s">
        <v>658</v>
      </c>
      <c r="B154" s="269" t="s">
        <v>146</v>
      </c>
      <c r="C154" s="270" t="s">
        <v>1113</v>
      </c>
      <c r="D154" s="269" t="s">
        <v>46</v>
      </c>
      <c r="E154" s="669">
        <f>E153*4</f>
        <v>35.2</v>
      </c>
      <c r="F154" s="669"/>
      <c r="G154" s="200">
        <f t="shared" si="2"/>
        <v>0</v>
      </c>
      <c r="H154" s="85">
        <v>0.011</v>
      </c>
      <c r="I154" s="201">
        <f t="shared" si="3"/>
        <v>0.3872</v>
      </c>
      <c r="J154" s="85">
        <v>0</v>
      </c>
      <c r="K154" s="85">
        <f t="shared" si="4"/>
        <v>0</v>
      </c>
      <c r="L154" s="85"/>
      <c r="M154" s="85"/>
      <c r="N154" s="202"/>
      <c r="O154" s="203"/>
      <c r="P154" s="203"/>
      <c r="Q154" s="203"/>
      <c r="R154" s="203"/>
      <c r="S154" s="203"/>
      <c r="T154" s="203"/>
    </row>
    <row r="155" spans="1:20" s="244" customFormat="1" ht="21.75" customHeight="1">
      <c r="A155" s="268" t="s">
        <v>659</v>
      </c>
      <c r="B155" s="197" t="s">
        <v>142</v>
      </c>
      <c r="C155" s="294" t="s">
        <v>148</v>
      </c>
      <c r="D155" s="295" t="s">
        <v>73</v>
      </c>
      <c r="E155" s="404">
        <f>SUM(D156)</f>
        <v>0.0547008</v>
      </c>
      <c r="F155" s="404"/>
      <c r="G155" s="200">
        <f t="shared" si="2"/>
        <v>0</v>
      </c>
      <c r="H155" s="242">
        <v>1.06277</v>
      </c>
      <c r="I155" s="242">
        <f t="shared" si="3"/>
        <v>0.058134369216</v>
      </c>
      <c r="J155" s="243">
        <v>0</v>
      </c>
      <c r="K155" s="243">
        <f t="shared" si="4"/>
        <v>0</v>
      </c>
      <c r="L155" s="243"/>
      <c r="M155" s="243"/>
      <c r="N155" s="405"/>
      <c r="O155" s="406"/>
      <c r="P155" s="406"/>
      <c r="Q155" s="406"/>
      <c r="R155" s="406"/>
      <c r="S155" s="406"/>
      <c r="T155" s="406"/>
    </row>
    <row r="156" spans="1:20" s="214" customFormat="1" ht="15" customHeight="1">
      <c r="A156" s="196"/>
      <c r="B156" s="205"/>
      <c r="C156" s="206" t="s">
        <v>1934</v>
      </c>
      <c r="D156" s="207">
        <f>8.8*5.18*1.2*0.001</f>
        <v>0.0547008</v>
      </c>
      <c r="E156" s="208"/>
      <c r="F156" s="208"/>
      <c r="G156" s="209"/>
      <c r="H156" s="210"/>
      <c r="I156" s="210"/>
      <c r="J156" s="211"/>
      <c r="K156" s="85"/>
      <c r="L156" s="211"/>
      <c r="M156" s="211"/>
      <c r="N156" s="212"/>
      <c r="O156" s="213"/>
      <c r="P156" s="213"/>
      <c r="Q156" s="213"/>
      <c r="R156" s="213"/>
      <c r="S156" s="213"/>
      <c r="T156" s="213"/>
    </row>
    <row r="157" spans="1:20" s="271" customFormat="1" ht="12.75">
      <c r="A157" s="268"/>
      <c r="B157" s="269"/>
      <c r="C157" s="270"/>
      <c r="D157" s="269"/>
      <c r="E157" s="669"/>
      <c r="F157" s="669"/>
      <c r="G157" s="274"/>
      <c r="H157" s="85"/>
      <c r="I157" s="85"/>
      <c r="J157" s="85"/>
      <c r="K157" s="85"/>
      <c r="L157" s="85"/>
      <c r="M157" s="85"/>
      <c r="N157" s="202"/>
      <c r="O157" s="203"/>
      <c r="P157" s="203"/>
      <c r="Q157" s="203"/>
      <c r="R157" s="203"/>
      <c r="S157" s="203"/>
      <c r="T157" s="203"/>
    </row>
    <row r="158" spans="1:20" s="267" customFormat="1" ht="21" customHeight="1">
      <c r="A158" s="280"/>
      <c r="B158" s="275"/>
      <c r="C158" s="281" t="s">
        <v>152</v>
      </c>
      <c r="D158" s="282"/>
      <c r="E158" s="283"/>
      <c r="F158" s="283"/>
      <c r="G158" s="284"/>
      <c r="H158" s="285"/>
      <c r="I158" s="285"/>
      <c r="J158" s="264"/>
      <c r="K158" s="264"/>
      <c r="L158" s="264"/>
      <c r="M158" s="264"/>
      <c r="N158" s="265"/>
      <c r="O158" s="266"/>
      <c r="P158" s="266"/>
      <c r="Q158" s="266"/>
      <c r="R158" s="266"/>
      <c r="S158" s="266"/>
      <c r="T158" s="266"/>
    </row>
    <row r="159" spans="1:20" s="271" customFormat="1" ht="32.25" customHeight="1">
      <c r="A159" s="268" t="s">
        <v>660</v>
      </c>
      <c r="B159" s="269" t="s">
        <v>1949</v>
      </c>
      <c r="C159" s="270" t="s">
        <v>1950</v>
      </c>
      <c r="D159" s="269" t="s">
        <v>46</v>
      </c>
      <c r="E159" s="669">
        <v>247.5</v>
      </c>
      <c r="F159" s="739"/>
      <c r="G159" s="200">
        <f>E159*F159</f>
        <v>0</v>
      </c>
      <c r="H159" s="85">
        <v>0.05817</v>
      </c>
      <c r="I159" s="201">
        <f>E159*H159</f>
        <v>14.397075</v>
      </c>
      <c r="J159" s="85">
        <v>0</v>
      </c>
      <c r="K159" s="85">
        <f>E159*J159</f>
        <v>0</v>
      </c>
      <c r="L159" s="85"/>
      <c r="M159" s="85"/>
      <c r="N159" s="202"/>
      <c r="O159" s="203"/>
      <c r="P159" s="203"/>
      <c r="Q159" s="203"/>
      <c r="R159" s="203"/>
      <c r="S159" s="203"/>
      <c r="T159" s="203"/>
    </row>
    <row r="160" spans="1:20" s="271" customFormat="1" ht="30" customHeight="1">
      <c r="A160" s="268" t="s">
        <v>661</v>
      </c>
      <c r="B160" s="674" t="s">
        <v>1601</v>
      </c>
      <c r="C160" s="691" t="s">
        <v>1602</v>
      </c>
      <c r="D160" s="674" t="s">
        <v>46</v>
      </c>
      <c r="E160" s="669">
        <f>SUM(D161:D162)</f>
        <v>438.35</v>
      </c>
      <c r="F160" s="669"/>
      <c r="G160" s="200">
        <f>E160*F160</f>
        <v>0</v>
      </c>
      <c r="H160" s="85">
        <v>0</v>
      </c>
      <c r="I160" s="201">
        <f>E160*H160</f>
        <v>0</v>
      </c>
      <c r="J160" s="85">
        <v>0</v>
      </c>
      <c r="K160" s="85">
        <f>E160*J160</f>
        <v>0</v>
      </c>
      <c r="L160" s="85"/>
      <c r="M160" s="85"/>
      <c r="N160" s="202"/>
      <c r="O160" s="203"/>
      <c r="P160" s="203"/>
      <c r="Q160" s="203"/>
      <c r="R160" s="203"/>
      <c r="S160" s="203"/>
      <c r="T160" s="203"/>
    </row>
    <row r="161" spans="1:20" s="596" customFormat="1" ht="18" customHeight="1">
      <c r="A161" s="720"/>
      <c r="B161" s="757"/>
      <c r="C161" s="758" t="s">
        <v>1952</v>
      </c>
      <c r="D161" s="759">
        <f>(194.1+53.4)*1.1</f>
        <v>272.25</v>
      </c>
      <c r="E161" s="760"/>
      <c r="F161" s="760"/>
      <c r="G161" s="761"/>
      <c r="H161" s="592"/>
      <c r="I161" s="592"/>
      <c r="J161" s="593"/>
      <c r="K161" s="593"/>
      <c r="L161" s="593"/>
      <c r="M161" s="593"/>
      <c r="N161" s="594"/>
      <c r="O161" s="595"/>
      <c r="P161" s="595"/>
      <c r="Q161" s="595"/>
      <c r="R161" s="595"/>
      <c r="S161" s="595"/>
      <c r="T161" s="595"/>
    </row>
    <row r="162" spans="1:20" s="596" customFormat="1" ht="18" customHeight="1">
      <c r="A162" s="720"/>
      <c r="B162" s="757"/>
      <c r="C162" s="758" t="s">
        <v>1953</v>
      </c>
      <c r="D162" s="759">
        <f>(71.1+72.2+7.7)*1.1</f>
        <v>166.10000000000002</v>
      </c>
      <c r="E162" s="760"/>
      <c r="F162" s="760"/>
      <c r="G162" s="761"/>
      <c r="H162" s="592"/>
      <c r="I162" s="592"/>
      <c r="J162" s="593"/>
      <c r="K162" s="593"/>
      <c r="L162" s="593"/>
      <c r="M162" s="593"/>
      <c r="N162" s="594"/>
      <c r="O162" s="595"/>
      <c r="P162" s="595"/>
      <c r="Q162" s="595"/>
      <c r="R162" s="595"/>
      <c r="S162" s="595"/>
      <c r="T162" s="595"/>
    </row>
    <row r="163" spans="1:20" s="271" customFormat="1" ht="18" customHeight="1">
      <c r="A163" s="268" t="s">
        <v>662</v>
      </c>
      <c r="B163" s="674">
        <v>28329012</v>
      </c>
      <c r="C163" s="691" t="s">
        <v>1487</v>
      </c>
      <c r="D163" s="674" t="s">
        <v>46</v>
      </c>
      <c r="E163" s="669">
        <f>SUM(D164)</f>
        <v>458.4039999999999</v>
      </c>
      <c r="F163" s="669"/>
      <c r="G163" s="200">
        <f>E163*F163</f>
        <v>0</v>
      </c>
      <c r="H163" s="85">
        <v>0.00014</v>
      </c>
      <c r="I163" s="201">
        <f>E163*H163</f>
        <v>0.06417655999999998</v>
      </c>
      <c r="J163" s="85">
        <v>0</v>
      </c>
      <c r="K163" s="85">
        <f>E163*J163</f>
        <v>0</v>
      </c>
      <c r="L163" s="85"/>
      <c r="M163" s="85"/>
      <c r="N163" s="202"/>
      <c r="O163" s="203"/>
      <c r="P163" s="203"/>
      <c r="Q163" s="203"/>
      <c r="R163" s="203"/>
      <c r="S163" s="203"/>
      <c r="T163" s="203"/>
    </row>
    <row r="164" spans="1:20" s="596" customFormat="1" ht="18" customHeight="1">
      <c r="A164" s="720"/>
      <c r="B164" s="721"/>
      <c r="C164" s="206" t="s">
        <v>1954</v>
      </c>
      <c r="D164" s="685">
        <f>(194.16+53.4+71.1+72.2+7.7)*1.15+0.06</f>
        <v>458.4039999999999</v>
      </c>
      <c r="E164" s="679"/>
      <c r="F164" s="679"/>
      <c r="G164" s="680"/>
      <c r="H164" s="592"/>
      <c r="I164" s="592"/>
      <c r="J164" s="593"/>
      <c r="K164" s="593"/>
      <c r="L164" s="593"/>
      <c r="M164" s="593"/>
      <c r="N164" s="594"/>
      <c r="O164" s="595"/>
      <c r="P164" s="595"/>
      <c r="Q164" s="595"/>
      <c r="R164" s="595"/>
      <c r="S164" s="595"/>
      <c r="T164" s="595"/>
    </row>
    <row r="165" spans="1:20" s="271" customFormat="1" ht="27" customHeight="1">
      <c r="A165" s="268" t="s">
        <v>663</v>
      </c>
      <c r="B165" s="674">
        <v>71311111</v>
      </c>
      <c r="C165" s="691" t="s">
        <v>1484</v>
      </c>
      <c r="D165" s="674" t="s">
        <v>46</v>
      </c>
      <c r="E165" s="669">
        <f>SUM(D166:D167)</f>
        <v>398.5</v>
      </c>
      <c r="F165" s="669"/>
      <c r="G165" s="200">
        <f>E165*F165</f>
        <v>0</v>
      </c>
      <c r="H165" s="85">
        <v>0</v>
      </c>
      <c r="I165" s="201">
        <f>E165*H165</f>
        <v>0</v>
      </c>
      <c r="J165" s="85">
        <v>0</v>
      </c>
      <c r="K165" s="85">
        <f>E165*J165</f>
        <v>0</v>
      </c>
      <c r="L165" s="85"/>
      <c r="M165" s="85"/>
      <c r="N165" s="202"/>
      <c r="O165" s="203"/>
      <c r="P165" s="203"/>
      <c r="Q165" s="203"/>
      <c r="R165" s="203"/>
      <c r="S165" s="203"/>
      <c r="T165" s="203"/>
    </row>
    <row r="166" spans="1:20" s="596" customFormat="1" ht="18" customHeight="1">
      <c r="A166" s="720"/>
      <c r="B166" s="721"/>
      <c r="C166" s="758" t="s">
        <v>1955</v>
      </c>
      <c r="D166" s="685">
        <f>(194.1+53.4)</f>
        <v>247.5</v>
      </c>
      <c r="E166" s="679"/>
      <c r="F166" s="679"/>
      <c r="G166" s="680"/>
      <c r="H166" s="592"/>
      <c r="I166" s="592"/>
      <c r="J166" s="593"/>
      <c r="K166" s="593"/>
      <c r="L166" s="593"/>
      <c r="M166" s="593"/>
      <c r="N166" s="594"/>
      <c r="O166" s="595"/>
      <c r="P166" s="595"/>
      <c r="Q166" s="595"/>
      <c r="R166" s="595"/>
      <c r="S166" s="595"/>
      <c r="T166" s="595"/>
    </row>
    <row r="167" spans="1:20" s="596" customFormat="1" ht="18" customHeight="1">
      <c r="A167" s="720"/>
      <c r="B167" s="757"/>
      <c r="C167" s="758" t="s">
        <v>1956</v>
      </c>
      <c r="D167" s="759">
        <f>(71.1+72.2+7.7)</f>
        <v>151</v>
      </c>
      <c r="E167" s="760"/>
      <c r="F167" s="760"/>
      <c r="G167" s="761"/>
      <c r="H167" s="592"/>
      <c r="I167" s="592"/>
      <c r="J167" s="593"/>
      <c r="K167" s="593"/>
      <c r="L167" s="593"/>
      <c r="M167" s="593"/>
      <c r="N167" s="594"/>
      <c r="O167" s="595"/>
      <c r="P167" s="595"/>
      <c r="Q167" s="595"/>
      <c r="R167" s="595"/>
      <c r="S167" s="595"/>
      <c r="T167" s="595"/>
    </row>
    <row r="168" spans="1:20" s="271" customFormat="1" ht="33.75" customHeight="1">
      <c r="A168" s="268" t="s">
        <v>664</v>
      </c>
      <c r="B168" s="674">
        <v>63150928</v>
      </c>
      <c r="C168" s="691" t="s">
        <v>1951</v>
      </c>
      <c r="D168" s="674" t="s">
        <v>46</v>
      </c>
      <c r="E168" s="669">
        <f>SUM(D169)</f>
        <v>166.10000000000002</v>
      </c>
      <c r="F168" s="669"/>
      <c r="G168" s="200">
        <f>E168*F168</f>
        <v>0</v>
      </c>
      <c r="H168" s="85">
        <v>0.0007</v>
      </c>
      <c r="I168" s="201">
        <f>E168*H168</f>
        <v>0.11627000000000001</v>
      </c>
      <c r="J168" s="85">
        <v>0</v>
      </c>
      <c r="K168" s="85">
        <f>E168*J168</f>
        <v>0</v>
      </c>
      <c r="L168" s="85"/>
      <c r="M168" s="85"/>
      <c r="N168" s="202"/>
      <c r="O168" s="203"/>
      <c r="P168" s="203"/>
      <c r="Q168" s="203"/>
      <c r="R168" s="203"/>
      <c r="S168" s="203"/>
      <c r="T168" s="203"/>
    </row>
    <row r="169" spans="1:20" s="596" customFormat="1" ht="18" customHeight="1">
      <c r="A169" s="720"/>
      <c r="B169" s="757"/>
      <c r="C169" s="758" t="s">
        <v>1953</v>
      </c>
      <c r="D169" s="759">
        <f>(71.1+72.2+7.7)*1.1</f>
        <v>166.10000000000002</v>
      </c>
      <c r="E169" s="760"/>
      <c r="F169" s="760"/>
      <c r="G169" s="761"/>
      <c r="H169" s="592"/>
      <c r="I169" s="592"/>
      <c r="J169" s="593"/>
      <c r="K169" s="593"/>
      <c r="L169" s="593"/>
      <c r="M169" s="593"/>
      <c r="N169" s="594"/>
      <c r="O169" s="595"/>
      <c r="P169" s="595"/>
      <c r="Q169" s="595"/>
      <c r="R169" s="595"/>
      <c r="S169" s="595"/>
      <c r="T169" s="595"/>
    </row>
    <row r="170" spans="1:20" s="271" customFormat="1" ht="33.75" customHeight="1">
      <c r="A170" s="268" t="s">
        <v>665</v>
      </c>
      <c r="B170" s="674">
        <v>63150930</v>
      </c>
      <c r="C170" s="691" t="s">
        <v>1597</v>
      </c>
      <c r="D170" s="674" t="s">
        <v>46</v>
      </c>
      <c r="E170" s="669">
        <f>SUM(D171)</f>
        <v>272.25</v>
      </c>
      <c r="F170" s="669"/>
      <c r="G170" s="200">
        <f>E170*F170</f>
        <v>0</v>
      </c>
      <c r="H170" s="85">
        <v>0.00114</v>
      </c>
      <c r="I170" s="201">
        <f>E170*H170</f>
        <v>0.310365</v>
      </c>
      <c r="J170" s="85">
        <v>0</v>
      </c>
      <c r="K170" s="85">
        <f>E170*J170</f>
        <v>0</v>
      </c>
      <c r="L170" s="85"/>
      <c r="M170" s="85"/>
      <c r="N170" s="202"/>
      <c r="O170" s="203"/>
      <c r="P170" s="203"/>
      <c r="Q170" s="203"/>
      <c r="R170" s="203"/>
      <c r="S170" s="203"/>
      <c r="T170" s="203"/>
    </row>
    <row r="171" spans="1:20" s="596" customFormat="1" ht="18" customHeight="1">
      <c r="A171" s="720"/>
      <c r="B171" s="757"/>
      <c r="C171" s="758" t="s">
        <v>1952</v>
      </c>
      <c r="D171" s="759">
        <f>(194.1+53.4)*1.1</f>
        <v>272.25</v>
      </c>
      <c r="E171" s="760"/>
      <c r="F171" s="760"/>
      <c r="G171" s="761"/>
      <c r="H171" s="592"/>
      <c r="I171" s="592"/>
      <c r="J171" s="593"/>
      <c r="K171" s="593"/>
      <c r="L171" s="593"/>
      <c r="M171" s="593"/>
      <c r="N171" s="594"/>
      <c r="O171" s="595"/>
      <c r="P171" s="595"/>
      <c r="Q171" s="595"/>
      <c r="R171" s="595"/>
      <c r="S171" s="595"/>
      <c r="T171" s="595"/>
    </row>
    <row r="172" spans="1:20" s="271" customFormat="1" ht="12.75">
      <c r="A172" s="690"/>
      <c r="B172" s="674"/>
      <c r="C172" s="691"/>
      <c r="D172" s="674"/>
      <c r="E172" s="669"/>
      <c r="F172" s="669"/>
      <c r="G172" s="692"/>
      <c r="H172" s="85"/>
      <c r="I172" s="85"/>
      <c r="J172" s="85"/>
      <c r="K172" s="85"/>
      <c r="L172" s="85"/>
      <c r="M172" s="85"/>
      <c r="N172" s="202"/>
      <c r="O172" s="203"/>
      <c r="P172" s="203"/>
      <c r="Q172" s="203"/>
      <c r="R172" s="203"/>
      <c r="S172" s="203"/>
      <c r="T172" s="203"/>
    </row>
    <row r="173" spans="1:20" s="271" customFormat="1" ht="29.25" customHeight="1">
      <c r="A173" s="268" t="s">
        <v>666</v>
      </c>
      <c r="B173" s="957">
        <v>763172354</v>
      </c>
      <c r="C173" s="956" t="s">
        <v>2349</v>
      </c>
      <c r="D173" s="957" t="s">
        <v>175</v>
      </c>
      <c r="E173" s="958">
        <v>1</v>
      </c>
      <c r="F173" s="958"/>
      <c r="G173" s="200">
        <f aca="true" t="shared" si="5" ref="G173:G174">E173*F173</f>
        <v>0</v>
      </c>
      <c r="H173" s="85">
        <v>0</v>
      </c>
      <c r="I173" s="201">
        <f>E173*H173</f>
        <v>0</v>
      </c>
      <c r="J173" s="85">
        <v>0</v>
      </c>
      <c r="K173" s="85">
        <f>E173*J173</f>
        <v>0</v>
      </c>
      <c r="L173" s="85"/>
      <c r="M173" s="85"/>
      <c r="N173" s="202"/>
      <c r="O173" s="203"/>
      <c r="P173" s="203"/>
      <c r="Q173" s="203"/>
      <c r="R173" s="203"/>
      <c r="S173" s="203"/>
      <c r="T173" s="203"/>
    </row>
    <row r="174" spans="1:20" s="271" customFormat="1" ht="19.5" customHeight="1">
      <c r="A174" s="268" t="s">
        <v>667</v>
      </c>
      <c r="B174" s="957">
        <v>59030713</v>
      </c>
      <c r="C174" s="956" t="s">
        <v>2406</v>
      </c>
      <c r="D174" s="957" t="s">
        <v>175</v>
      </c>
      <c r="E174" s="958">
        <v>1</v>
      </c>
      <c r="F174" s="958"/>
      <c r="G174" s="200">
        <f t="shared" si="5"/>
        <v>0</v>
      </c>
      <c r="H174" s="85">
        <v>0.0032</v>
      </c>
      <c r="I174" s="201">
        <f>E174*H174</f>
        <v>0.0032</v>
      </c>
      <c r="J174" s="85">
        <v>0</v>
      </c>
      <c r="K174" s="85">
        <f>E174*J174</f>
        <v>0</v>
      </c>
      <c r="L174" s="85"/>
      <c r="M174" s="85"/>
      <c r="N174" s="202"/>
      <c r="O174" s="203"/>
      <c r="P174" s="203"/>
      <c r="Q174" s="203"/>
      <c r="R174" s="203"/>
      <c r="S174" s="203"/>
      <c r="T174" s="203"/>
    </row>
    <row r="175" spans="1:20" s="271" customFormat="1" ht="12.75">
      <c r="A175" s="690"/>
      <c r="B175" s="674"/>
      <c r="C175" s="691"/>
      <c r="D175" s="674"/>
      <c r="E175" s="669"/>
      <c r="F175" s="669"/>
      <c r="G175" s="692"/>
      <c r="H175" s="85"/>
      <c r="I175" s="85"/>
      <c r="J175" s="85"/>
      <c r="K175" s="85"/>
      <c r="L175" s="85"/>
      <c r="M175" s="85"/>
      <c r="N175" s="202"/>
      <c r="O175" s="203"/>
      <c r="P175" s="203"/>
      <c r="Q175" s="203"/>
      <c r="R175" s="203"/>
      <c r="S175" s="203"/>
      <c r="T175" s="203"/>
    </row>
    <row r="176" spans="1:20" s="596" customFormat="1" ht="18" customHeight="1">
      <c r="A176" s="690"/>
      <c r="B176" s="757"/>
      <c r="C176" s="762" t="s">
        <v>1600</v>
      </c>
      <c r="D176" s="759"/>
      <c r="E176" s="760"/>
      <c r="F176" s="760"/>
      <c r="G176" s="761"/>
      <c r="H176" s="592"/>
      <c r="I176" s="592"/>
      <c r="J176" s="593"/>
      <c r="K176" s="593"/>
      <c r="L176" s="593"/>
      <c r="M176" s="593"/>
      <c r="N176" s="594"/>
      <c r="O176" s="595"/>
      <c r="P176" s="595"/>
      <c r="Q176" s="595"/>
      <c r="R176" s="595"/>
      <c r="S176" s="595"/>
      <c r="T176" s="595"/>
    </row>
    <row r="177" spans="1:20" s="271" customFormat="1" ht="49.5" customHeight="1">
      <c r="A177" s="268" t="s">
        <v>668</v>
      </c>
      <c r="B177" s="674" t="s">
        <v>1598</v>
      </c>
      <c r="C177" s="691" t="s">
        <v>1960</v>
      </c>
      <c r="D177" s="674" t="s">
        <v>46</v>
      </c>
      <c r="E177" s="669">
        <f>SUM(D178)</f>
        <v>196</v>
      </c>
      <c r="F177" s="669"/>
      <c r="G177" s="200">
        <f>E177*F177</f>
        <v>0</v>
      </c>
      <c r="H177" s="85">
        <v>0.015</v>
      </c>
      <c r="I177" s="201">
        <f>E177*H177</f>
        <v>2.94</v>
      </c>
      <c r="J177" s="85">
        <v>0</v>
      </c>
      <c r="K177" s="85">
        <f>E177*J177</f>
        <v>0</v>
      </c>
      <c r="L177" s="85"/>
      <c r="M177" s="85"/>
      <c r="N177" s="202"/>
      <c r="O177" s="203"/>
      <c r="P177" s="203"/>
      <c r="Q177" s="203"/>
      <c r="R177" s="203"/>
      <c r="S177" s="203"/>
      <c r="T177" s="203"/>
    </row>
    <row r="178" spans="1:20" s="596" customFormat="1" ht="18" customHeight="1">
      <c r="A178" s="720"/>
      <c r="B178" s="868" t="s">
        <v>1963</v>
      </c>
      <c r="C178" s="758" t="s">
        <v>1961</v>
      </c>
      <c r="D178" s="759">
        <f>167.4+28.6</f>
        <v>196</v>
      </c>
      <c r="E178" s="760"/>
      <c r="F178" s="760"/>
      <c r="G178" s="761"/>
      <c r="H178" s="592"/>
      <c r="I178" s="592"/>
      <c r="J178" s="593"/>
      <c r="K178" s="593"/>
      <c r="L178" s="593"/>
      <c r="M178" s="593"/>
      <c r="N178" s="594"/>
      <c r="O178" s="595"/>
      <c r="P178" s="595"/>
      <c r="Q178" s="595"/>
      <c r="R178" s="595"/>
      <c r="S178" s="595"/>
      <c r="T178" s="595"/>
    </row>
    <row r="179" spans="1:20" s="271" customFormat="1" ht="31.5" customHeight="1">
      <c r="A179" s="268" t="s">
        <v>669</v>
      </c>
      <c r="B179" s="763">
        <v>763131511</v>
      </c>
      <c r="C179" s="764" t="s">
        <v>1957</v>
      </c>
      <c r="D179" s="674" t="s">
        <v>46</v>
      </c>
      <c r="E179" s="739">
        <f>SUM(D180)</f>
        <v>57.59800000000001</v>
      </c>
      <c r="F179" s="739"/>
      <c r="G179" s="200">
        <f>E179*F179</f>
        <v>0</v>
      </c>
      <c r="H179" s="85">
        <v>0.01217</v>
      </c>
      <c r="I179" s="201">
        <f>E179*H179</f>
        <v>0.7009676600000002</v>
      </c>
      <c r="J179" s="85">
        <v>0</v>
      </c>
      <c r="K179" s="85">
        <f>E179*J179</f>
        <v>0</v>
      </c>
      <c r="L179" s="85"/>
      <c r="M179" s="85"/>
      <c r="N179" s="202"/>
      <c r="O179" s="203"/>
      <c r="P179" s="203"/>
      <c r="Q179" s="203"/>
      <c r="R179" s="203"/>
      <c r="S179" s="203"/>
      <c r="T179" s="203"/>
    </row>
    <row r="180" spans="1:20" s="596" customFormat="1" ht="18" customHeight="1">
      <c r="A180" s="720"/>
      <c r="B180" s="868" t="s">
        <v>1963</v>
      </c>
      <c r="C180" s="758" t="s">
        <v>1962</v>
      </c>
      <c r="D180" s="759">
        <f>(26.6+24.8)*1.12+0.03</f>
        <v>57.59800000000001</v>
      </c>
      <c r="E180" s="760"/>
      <c r="F180" s="760"/>
      <c r="G180" s="761"/>
      <c r="H180" s="592"/>
      <c r="I180" s="592"/>
      <c r="J180" s="593"/>
      <c r="K180" s="593"/>
      <c r="L180" s="593"/>
      <c r="M180" s="593"/>
      <c r="N180" s="594"/>
      <c r="O180" s="595"/>
      <c r="P180" s="595"/>
      <c r="Q180" s="595"/>
      <c r="R180" s="595"/>
      <c r="S180" s="595"/>
      <c r="T180" s="595"/>
    </row>
    <row r="181" spans="1:20" s="271" customFormat="1" ht="12.75">
      <c r="A181" s="690"/>
      <c r="B181" s="674"/>
      <c r="C181" s="691"/>
      <c r="D181" s="674"/>
      <c r="E181" s="669"/>
      <c r="F181" s="669"/>
      <c r="G181" s="692"/>
      <c r="H181" s="85"/>
      <c r="I181" s="85"/>
      <c r="J181" s="85"/>
      <c r="K181" s="85"/>
      <c r="L181" s="85"/>
      <c r="M181" s="85"/>
      <c r="N181" s="202"/>
      <c r="O181" s="203"/>
      <c r="P181" s="203"/>
      <c r="Q181" s="203"/>
      <c r="R181" s="203"/>
      <c r="S181" s="203"/>
      <c r="T181" s="203"/>
    </row>
    <row r="182" spans="1:20" s="596" customFormat="1" ht="32.25" customHeight="1">
      <c r="A182" s="268" t="s">
        <v>670</v>
      </c>
      <c r="B182" s="674" t="s">
        <v>1958</v>
      </c>
      <c r="C182" s="691" t="s">
        <v>1959</v>
      </c>
      <c r="D182" s="674" t="s">
        <v>46</v>
      </c>
      <c r="E182" s="739">
        <f>SUM(D183)</f>
        <v>127.9</v>
      </c>
      <c r="F182" s="739"/>
      <c r="G182" s="200">
        <f>E182*F182</f>
        <v>0</v>
      </c>
      <c r="H182" s="85">
        <v>0.01661</v>
      </c>
      <c r="I182" s="201">
        <f>E182*H182</f>
        <v>2.124419</v>
      </c>
      <c r="J182" s="85">
        <v>0</v>
      </c>
      <c r="K182" s="85">
        <f>E182*J182</f>
        <v>0</v>
      </c>
      <c r="L182" s="85"/>
      <c r="M182" s="593"/>
      <c r="N182" s="594"/>
      <c r="O182" s="595"/>
      <c r="P182" s="595"/>
      <c r="Q182" s="595"/>
      <c r="R182" s="595"/>
      <c r="S182" s="595"/>
      <c r="T182" s="595"/>
    </row>
    <row r="183" spans="1:20" s="596" customFormat="1" ht="18" customHeight="1">
      <c r="A183" s="720"/>
      <c r="B183" s="868" t="s">
        <v>1964</v>
      </c>
      <c r="C183" s="758" t="s">
        <v>1965</v>
      </c>
      <c r="D183" s="759">
        <f>59.5+60.7+7.7</f>
        <v>127.9</v>
      </c>
      <c r="E183" s="760"/>
      <c r="F183" s="760"/>
      <c r="G183" s="761"/>
      <c r="H183" s="592"/>
      <c r="I183" s="592"/>
      <c r="J183" s="593"/>
      <c r="K183" s="593"/>
      <c r="L183" s="593"/>
      <c r="M183" s="593"/>
      <c r="N183" s="594"/>
      <c r="O183" s="595"/>
      <c r="P183" s="595"/>
      <c r="Q183" s="595"/>
      <c r="R183" s="595"/>
      <c r="S183" s="595"/>
      <c r="T183" s="595"/>
    </row>
    <row r="184" spans="1:20" s="271" customFormat="1" ht="22">
      <c r="A184" s="268" t="s">
        <v>671</v>
      </c>
      <c r="B184" s="763" t="s">
        <v>1599</v>
      </c>
      <c r="C184" s="764" t="s">
        <v>1806</v>
      </c>
      <c r="D184" s="763" t="s">
        <v>46</v>
      </c>
      <c r="E184" s="739">
        <f>SUM(D185)</f>
        <v>25.902000000000005</v>
      </c>
      <c r="F184" s="739"/>
      <c r="G184" s="200">
        <f>E184*F184</f>
        <v>0</v>
      </c>
      <c r="H184" s="85">
        <v>0.0122</v>
      </c>
      <c r="I184" s="201">
        <f>E184*H184</f>
        <v>0.3160044000000001</v>
      </c>
      <c r="J184" s="85">
        <v>0</v>
      </c>
      <c r="K184" s="85">
        <f>E184*J184</f>
        <v>0</v>
      </c>
      <c r="L184" s="85"/>
      <c r="M184" s="85"/>
      <c r="N184" s="202"/>
      <c r="O184" s="203"/>
      <c r="P184" s="203"/>
      <c r="Q184" s="203"/>
      <c r="R184" s="203"/>
      <c r="S184" s="203"/>
      <c r="T184" s="203"/>
    </row>
    <row r="185" spans="1:20" s="596" customFormat="1" ht="18" customHeight="1">
      <c r="A185" s="720"/>
      <c r="B185" s="868" t="s">
        <v>1964</v>
      </c>
      <c r="C185" s="758" t="s">
        <v>1966</v>
      </c>
      <c r="D185" s="759">
        <f>(11.6+11.5)*1.12+0.03</f>
        <v>25.902000000000005</v>
      </c>
      <c r="E185" s="760"/>
      <c r="F185" s="760"/>
      <c r="G185" s="761"/>
      <c r="H185" s="592"/>
      <c r="I185" s="592"/>
      <c r="J185" s="593"/>
      <c r="K185" s="593"/>
      <c r="L185" s="593"/>
      <c r="M185" s="593"/>
      <c r="N185" s="594"/>
      <c r="O185" s="595"/>
      <c r="P185" s="595"/>
      <c r="Q185" s="595"/>
      <c r="R185" s="595"/>
      <c r="S185" s="595"/>
      <c r="T185" s="595"/>
    </row>
    <row r="186" spans="1:12" s="251" customFormat="1" ht="15" customHeight="1">
      <c r="A186" s="196"/>
      <c r="B186" s="205"/>
      <c r="C186" s="245"/>
      <c r="D186" s="246"/>
      <c r="E186" s="247"/>
      <c r="F186" s="247"/>
      <c r="G186" s="248"/>
      <c r="H186" s="250"/>
      <c r="I186" s="250"/>
      <c r="J186" s="249"/>
      <c r="K186" s="250"/>
      <c r="L186" s="250"/>
    </row>
    <row r="187" spans="1:20" s="277" customFormat="1" ht="22">
      <c r="A187" s="268" t="s">
        <v>1730</v>
      </c>
      <c r="B187" s="462" t="s">
        <v>1967</v>
      </c>
      <c r="C187" s="583" t="s">
        <v>296</v>
      </c>
      <c r="D187" s="462" t="s">
        <v>46</v>
      </c>
      <c r="E187" s="404">
        <f>SUM(D193:D194)</f>
        <v>159.995</v>
      </c>
      <c r="F187" s="404"/>
      <c r="G187" s="240">
        <f>$E187*F187</f>
        <v>0</v>
      </c>
      <c r="H187" s="420"/>
      <c r="I187" s="420"/>
      <c r="J187" s="420"/>
      <c r="K187" s="420"/>
      <c r="L187" s="420"/>
      <c r="M187" s="420"/>
      <c r="N187" s="421"/>
      <c r="O187" s="422"/>
      <c r="P187" s="422"/>
      <c r="Q187" s="422"/>
      <c r="R187" s="422"/>
      <c r="S187" s="422"/>
      <c r="T187" s="422"/>
    </row>
    <row r="188" spans="1:20" s="461" customFormat="1" ht="15.75" customHeight="1">
      <c r="A188" s="268"/>
      <c r="B188" s="269"/>
      <c r="C188" s="270" t="s">
        <v>1969</v>
      </c>
      <c r="D188" s="463"/>
      <c r="E188" s="404"/>
      <c r="F188" s="404"/>
      <c r="G188" s="200"/>
      <c r="H188" s="243"/>
      <c r="I188" s="243"/>
      <c r="J188" s="243"/>
      <c r="K188" s="243"/>
      <c r="L188" s="243"/>
      <c r="M188" s="243"/>
      <c r="N188" s="405"/>
      <c r="O188" s="406"/>
      <c r="P188" s="406"/>
      <c r="Q188" s="406"/>
      <c r="R188" s="406"/>
      <c r="S188" s="406"/>
      <c r="T188" s="406"/>
    </row>
    <row r="189" spans="1:20" s="461" customFormat="1" ht="15.75" customHeight="1">
      <c r="A189" s="272"/>
      <c r="B189" s="237"/>
      <c r="C189" s="273" t="s">
        <v>1970</v>
      </c>
      <c r="D189" s="463"/>
      <c r="E189" s="404"/>
      <c r="F189" s="404"/>
      <c r="G189" s="200"/>
      <c r="H189" s="243"/>
      <c r="I189" s="243"/>
      <c r="J189" s="243"/>
      <c r="K189" s="243"/>
      <c r="L189" s="243"/>
      <c r="M189" s="243"/>
      <c r="N189" s="405"/>
      <c r="O189" s="406"/>
      <c r="P189" s="406"/>
      <c r="Q189" s="406"/>
      <c r="R189" s="406"/>
      <c r="S189" s="406"/>
      <c r="T189" s="406"/>
    </row>
    <row r="190" spans="1:20" s="461" customFormat="1" ht="15.75" customHeight="1">
      <c r="A190" s="272"/>
      <c r="B190" s="237"/>
      <c r="C190" s="273" t="s">
        <v>297</v>
      </c>
      <c r="D190" s="463"/>
      <c r="E190" s="404"/>
      <c r="F190" s="404"/>
      <c r="G190" s="200"/>
      <c r="H190" s="243"/>
      <c r="I190" s="243"/>
      <c r="J190" s="243"/>
      <c r="K190" s="243"/>
      <c r="L190" s="243"/>
      <c r="M190" s="243"/>
      <c r="N190" s="405"/>
      <c r="O190" s="406"/>
      <c r="P190" s="406"/>
      <c r="Q190" s="406"/>
      <c r="R190" s="406"/>
      <c r="S190" s="406"/>
      <c r="T190" s="406"/>
    </row>
    <row r="191" spans="1:20" s="461" customFormat="1" ht="36" customHeight="1">
      <c r="A191" s="272"/>
      <c r="B191" s="237"/>
      <c r="C191" s="273" t="s">
        <v>1968</v>
      </c>
      <c r="D191" s="463"/>
      <c r="E191" s="404"/>
      <c r="F191" s="404"/>
      <c r="G191" s="200"/>
      <c r="H191" s="243"/>
      <c r="I191" s="243"/>
      <c r="J191" s="243"/>
      <c r="K191" s="243"/>
      <c r="L191" s="243"/>
      <c r="M191" s="243"/>
      <c r="N191" s="405"/>
      <c r="O191" s="406"/>
      <c r="P191" s="406"/>
      <c r="Q191" s="406"/>
      <c r="R191" s="406"/>
      <c r="S191" s="406"/>
      <c r="T191" s="406"/>
    </row>
    <row r="192" spans="1:20" s="461" customFormat="1" ht="15.75" customHeight="1">
      <c r="A192" s="272"/>
      <c r="B192" s="237"/>
      <c r="C192" s="273" t="s">
        <v>298</v>
      </c>
      <c r="D192" s="463"/>
      <c r="E192" s="404"/>
      <c r="F192" s="404"/>
      <c r="G192" s="200"/>
      <c r="H192" s="243"/>
      <c r="I192" s="243"/>
      <c r="J192" s="243"/>
      <c r="K192" s="243"/>
      <c r="L192" s="243"/>
      <c r="M192" s="243"/>
      <c r="N192" s="405"/>
      <c r="O192" s="406"/>
      <c r="P192" s="406"/>
      <c r="Q192" s="406"/>
      <c r="R192" s="406"/>
      <c r="S192" s="406"/>
      <c r="T192" s="406"/>
    </row>
    <row r="193" spans="1:12" s="251" customFormat="1" ht="15" customHeight="1">
      <c r="A193" s="268"/>
      <c r="B193" s="205"/>
      <c r="C193" s="245" t="s">
        <v>1974</v>
      </c>
      <c r="D193" s="246">
        <f>18.4*3-1.7*2-1.88*2*2+19.6*3-1.06*1.75*3-1.4*0.8*4</f>
        <v>93.03500000000001</v>
      </c>
      <c r="E193" s="419"/>
      <c r="F193" s="419"/>
      <c r="G193" s="424"/>
      <c r="H193" s="250"/>
      <c r="I193" s="250"/>
      <c r="J193" s="249"/>
      <c r="K193" s="250"/>
      <c r="L193" s="250"/>
    </row>
    <row r="194" spans="1:12" s="251" customFormat="1" ht="15" customHeight="1">
      <c r="A194" s="268"/>
      <c r="B194" s="776"/>
      <c r="C194" s="468" t="s">
        <v>1975</v>
      </c>
      <c r="D194" s="777">
        <f>22.7*3-0.8*2-1.06*1.75*5-1.4*0.8*5+1.3*0.9*2+3*3-1.6*2+1.2*3*2-0.005</f>
        <v>66.96000000000001</v>
      </c>
      <c r="E194" s="767"/>
      <c r="F194" s="767"/>
      <c r="G194" s="768"/>
      <c r="H194" s="250"/>
      <c r="I194" s="250"/>
      <c r="J194" s="249"/>
      <c r="K194" s="250"/>
      <c r="L194" s="250"/>
    </row>
    <row r="195" spans="1:12" s="251" customFormat="1" ht="15" customHeight="1">
      <c r="A195" s="268"/>
      <c r="B195" s="776"/>
      <c r="C195" s="468"/>
      <c r="D195" s="777"/>
      <c r="E195" s="767"/>
      <c r="F195" s="767"/>
      <c r="G195" s="768"/>
      <c r="H195" s="250"/>
      <c r="I195" s="250"/>
      <c r="J195" s="249"/>
      <c r="K195" s="250"/>
      <c r="L195" s="250"/>
    </row>
    <row r="196" spans="1:20" s="277" customFormat="1" ht="22">
      <c r="A196" s="268" t="s">
        <v>2006</v>
      </c>
      <c r="B196" s="462" t="s">
        <v>1971</v>
      </c>
      <c r="C196" s="583" t="s">
        <v>300</v>
      </c>
      <c r="D196" s="462" t="s">
        <v>46</v>
      </c>
      <c r="E196" s="404">
        <v>38.6</v>
      </c>
      <c r="F196" s="404"/>
      <c r="G196" s="240">
        <f>$E196*F196</f>
        <v>0</v>
      </c>
      <c r="H196" s="420"/>
      <c r="I196" s="420"/>
      <c r="J196" s="420"/>
      <c r="K196" s="420"/>
      <c r="L196" s="420"/>
      <c r="M196" s="420"/>
      <c r="N196" s="421"/>
      <c r="O196" s="422"/>
      <c r="P196" s="422"/>
      <c r="Q196" s="422"/>
      <c r="R196" s="422"/>
      <c r="S196" s="422"/>
      <c r="T196" s="422"/>
    </row>
    <row r="197" spans="1:20" s="461" customFormat="1" ht="18" customHeight="1">
      <c r="A197" s="268"/>
      <c r="B197" s="237"/>
      <c r="C197" s="270" t="s">
        <v>1969</v>
      </c>
      <c r="D197" s="463"/>
      <c r="E197" s="404"/>
      <c r="F197" s="404"/>
      <c r="G197" s="200"/>
      <c r="H197" s="243"/>
      <c r="I197" s="243"/>
      <c r="J197" s="243"/>
      <c r="K197" s="243"/>
      <c r="L197" s="243"/>
      <c r="M197" s="243"/>
      <c r="N197" s="405"/>
      <c r="O197" s="406"/>
      <c r="P197" s="406"/>
      <c r="Q197" s="406"/>
      <c r="R197" s="406"/>
      <c r="S197" s="406"/>
      <c r="T197" s="406"/>
    </row>
    <row r="198" spans="1:20" s="461" customFormat="1" ht="18" customHeight="1">
      <c r="A198" s="272"/>
      <c r="B198" s="237"/>
      <c r="C198" s="273" t="s">
        <v>1970</v>
      </c>
      <c r="D198" s="463"/>
      <c r="E198" s="404"/>
      <c r="F198" s="404"/>
      <c r="G198" s="200"/>
      <c r="H198" s="243"/>
      <c r="I198" s="243"/>
      <c r="J198" s="243"/>
      <c r="K198" s="243"/>
      <c r="L198" s="243"/>
      <c r="M198" s="243"/>
      <c r="N198" s="405"/>
      <c r="O198" s="406"/>
      <c r="P198" s="406"/>
      <c r="Q198" s="406"/>
      <c r="R198" s="406"/>
      <c r="S198" s="406"/>
      <c r="T198" s="406"/>
    </row>
    <row r="199" spans="1:20" s="461" customFormat="1" ht="18" customHeight="1">
      <c r="A199" s="272"/>
      <c r="B199" s="237"/>
      <c r="C199" s="273" t="s">
        <v>297</v>
      </c>
      <c r="D199" s="463"/>
      <c r="E199" s="404"/>
      <c r="F199" s="404"/>
      <c r="G199" s="200"/>
      <c r="H199" s="243"/>
      <c r="I199" s="243"/>
      <c r="J199" s="243"/>
      <c r="K199" s="243"/>
      <c r="L199" s="243"/>
      <c r="M199" s="243"/>
      <c r="N199" s="405"/>
      <c r="O199" s="406"/>
      <c r="P199" s="406"/>
      <c r="Q199" s="406"/>
      <c r="R199" s="406"/>
      <c r="S199" s="406"/>
      <c r="T199" s="406"/>
    </row>
    <row r="200" spans="1:20" s="461" customFormat="1" ht="18" customHeight="1">
      <c r="A200" s="751"/>
      <c r="B200" s="763"/>
      <c r="C200" s="764" t="s">
        <v>1973</v>
      </c>
      <c r="D200" s="869"/>
      <c r="E200" s="779"/>
      <c r="F200" s="779"/>
      <c r="G200" s="781"/>
      <c r="H200" s="243"/>
      <c r="I200" s="243"/>
      <c r="J200" s="243"/>
      <c r="K200" s="243"/>
      <c r="L200" s="243"/>
      <c r="M200" s="243"/>
      <c r="N200" s="405"/>
      <c r="O200" s="406"/>
      <c r="P200" s="406"/>
      <c r="Q200" s="406"/>
      <c r="R200" s="406"/>
      <c r="S200" s="406"/>
      <c r="T200" s="406"/>
    </row>
    <row r="201" spans="1:20" s="461" customFormat="1" ht="18" customHeight="1">
      <c r="A201" s="272"/>
      <c r="B201" s="237"/>
      <c r="C201" s="273" t="s">
        <v>1972</v>
      </c>
      <c r="D201" s="463"/>
      <c r="E201" s="404"/>
      <c r="F201" s="404"/>
      <c r="G201" s="200"/>
      <c r="H201" s="243"/>
      <c r="I201" s="243"/>
      <c r="J201" s="243"/>
      <c r="K201" s="243"/>
      <c r="L201" s="243"/>
      <c r="M201" s="243"/>
      <c r="N201" s="405"/>
      <c r="O201" s="406"/>
      <c r="P201" s="406"/>
      <c r="Q201" s="406"/>
      <c r="R201" s="406"/>
      <c r="S201" s="406"/>
      <c r="T201" s="406"/>
    </row>
    <row r="202" spans="1:20" s="461" customFormat="1" ht="18" customHeight="1">
      <c r="A202" s="272"/>
      <c r="B202" s="237"/>
      <c r="C202" s="273" t="s">
        <v>298</v>
      </c>
      <c r="D202" s="463"/>
      <c r="E202" s="404"/>
      <c r="F202" s="404"/>
      <c r="G202" s="200"/>
      <c r="H202" s="243"/>
      <c r="I202" s="243"/>
      <c r="J202" s="243"/>
      <c r="K202" s="243"/>
      <c r="L202" s="243"/>
      <c r="M202" s="243"/>
      <c r="N202" s="405"/>
      <c r="O202" s="406"/>
      <c r="P202" s="406"/>
      <c r="Q202" s="406"/>
      <c r="R202" s="406"/>
      <c r="S202" s="406"/>
      <c r="T202" s="406"/>
    </row>
    <row r="203" spans="1:12" s="251" customFormat="1" ht="15" customHeight="1">
      <c r="A203" s="962"/>
      <c r="B203" s="205"/>
      <c r="C203" s="245"/>
      <c r="D203" s="423"/>
      <c r="E203" s="419"/>
      <c r="F203" s="419"/>
      <c r="G203" s="424"/>
      <c r="H203" s="250"/>
      <c r="I203" s="250"/>
      <c r="J203" s="249"/>
      <c r="K203" s="250"/>
      <c r="L203" s="250"/>
    </row>
    <row r="204" spans="1:20" s="277" customFormat="1" ht="22">
      <c r="A204" s="268" t="s">
        <v>2007</v>
      </c>
      <c r="B204" s="462" t="s">
        <v>1976</v>
      </c>
      <c r="C204" s="583" t="s">
        <v>302</v>
      </c>
      <c r="D204" s="462" t="s">
        <v>46</v>
      </c>
      <c r="E204" s="404">
        <f>SUM(D210)</f>
        <v>64.80000000000001</v>
      </c>
      <c r="F204" s="404"/>
      <c r="G204" s="240">
        <f>$E204*F204</f>
        <v>0</v>
      </c>
      <c r="H204" s="420"/>
      <c r="I204" s="420"/>
      <c r="J204" s="420"/>
      <c r="K204" s="420"/>
      <c r="L204" s="420"/>
      <c r="M204" s="420"/>
      <c r="N204" s="421"/>
      <c r="O204" s="422"/>
      <c r="P204" s="422"/>
      <c r="Q204" s="422"/>
      <c r="R204" s="422"/>
      <c r="S204" s="422"/>
      <c r="T204" s="422"/>
    </row>
    <row r="205" spans="1:20" s="461" customFormat="1" ht="18" customHeight="1">
      <c r="A205" s="268"/>
      <c r="B205" s="237"/>
      <c r="C205" s="270" t="s">
        <v>297</v>
      </c>
      <c r="D205" s="463"/>
      <c r="E205" s="404"/>
      <c r="F205" s="404"/>
      <c r="G205" s="200"/>
      <c r="H205" s="243"/>
      <c r="I205" s="243"/>
      <c r="J205" s="243"/>
      <c r="K205" s="243"/>
      <c r="L205" s="243"/>
      <c r="M205" s="243"/>
      <c r="N205" s="405"/>
      <c r="O205" s="406"/>
      <c r="P205" s="406"/>
      <c r="Q205" s="406"/>
      <c r="R205" s="406"/>
      <c r="S205" s="406"/>
      <c r="T205" s="406"/>
    </row>
    <row r="206" spans="1:20" s="461" customFormat="1" ht="18" customHeight="1">
      <c r="A206" s="272"/>
      <c r="B206" s="269"/>
      <c r="C206" s="273" t="s">
        <v>1970</v>
      </c>
      <c r="D206" s="463"/>
      <c r="E206" s="404"/>
      <c r="F206" s="404"/>
      <c r="G206" s="200"/>
      <c r="H206" s="243"/>
      <c r="I206" s="243"/>
      <c r="J206" s="243"/>
      <c r="K206" s="243"/>
      <c r="L206" s="243"/>
      <c r="M206" s="243"/>
      <c r="N206" s="405"/>
      <c r="O206" s="406"/>
      <c r="P206" s="406"/>
      <c r="Q206" s="406"/>
      <c r="R206" s="406"/>
      <c r="S206" s="406"/>
      <c r="T206" s="406"/>
    </row>
    <row r="207" spans="1:12" s="251" customFormat="1" ht="31.5" customHeight="1">
      <c r="A207" s="196"/>
      <c r="B207" s="205"/>
      <c r="C207" s="273" t="s">
        <v>1977</v>
      </c>
      <c r="D207" s="423"/>
      <c r="E207" s="247"/>
      <c r="F207" s="247"/>
      <c r="G207" s="248"/>
      <c r="H207" s="250"/>
      <c r="I207" s="250"/>
      <c r="J207" s="249"/>
      <c r="K207" s="250"/>
      <c r="L207" s="250"/>
    </row>
    <row r="208" spans="1:12" s="251" customFormat="1" ht="15" customHeight="1">
      <c r="A208" s="196"/>
      <c r="B208" s="205"/>
      <c r="C208" s="273" t="s">
        <v>298</v>
      </c>
      <c r="D208" s="423"/>
      <c r="E208" s="247"/>
      <c r="F208" s="247"/>
      <c r="G208" s="248"/>
      <c r="H208" s="250"/>
      <c r="I208" s="250"/>
      <c r="J208" s="249"/>
      <c r="K208" s="250"/>
      <c r="L208" s="250"/>
    </row>
    <row r="209" spans="1:12" s="251" customFormat="1" ht="15" customHeight="1">
      <c r="A209" s="286"/>
      <c r="B209" s="425"/>
      <c r="C209" s="273" t="s">
        <v>303</v>
      </c>
      <c r="D209" s="423"/>
      <c r="E209" s="419"/>
      <c r="F209" s="419"/>
      <c r="G209" s="424"/>
      <c r="H209" s="250"/>
      <c r="I209" s="250"/>
      <c r="J209" s="249"/>
      <c r="K209" s="250"/>
      <c r="L209" s="250"/>
    </row>
    <row r="210" spans="1:12" s="251" customFormat="1" ht="17.25" customHeight="1">
      <c r="A210" s="750"/>
      <c r="B210" s="725"/>
      <c r="C210" s="726" t="s">
        <v>1978</v>
      </c>
      <c r="D210" s="246">
        <f>2.7*3*8</f>
        <v>64.80000000000001</v>
      </c>
      <c r="E210" s="247"/>
      <c r="F210" s="247"/>
      <c r="G210" s="248"/>
      <c r="H210" s="250"/>
      <c r="I210" s="250"/>
      <c r="J210" s="249"/>
      <c r="K210" s="250"/>
      <c r="L210" s="250"/>
    </row>
    <row r="211" spans="1:12" s="251" customFormat="1" ht="15" customHeight="1">
      <c r="A211" s="750"/>
      <c r="B211" s="725"/>
      <c r="C211" s="726"/>
      <c r="D211" s="423"/>
      <c r="E211" s="419"/>
      <c r="F211" s="419"/>
      <c r="G211" s="424"/>
      <c r="H211" s="250"/>
      <c r="I211" s="250"/>
      <c r="J211" s="249"/>
      <c r="K211" s="250"/>
      <c r="L211" s="250"/>
    </row>
    <row r="212" spans="1:20" s="277" customFormat="1" ht="12.75">
      <c r="A212" s="268" t="s">
        <v>2347</v>
      </c>
      <c r="B212" s="819" t="s">
        <v>1979</v>
      </c>
      <c r="C212" s="876" t="s">
        <v>305</v>
      </c>
      <c r="D212" s="462"/>
      <c r="E212" s="239"/>
      <c r="F212" s="296"/>
      <c r="G212" s="240"/>
      <c r="H212" s="420"/>
      <c r="I212" s="420"/>
      <c r="J212" s="420"/>
      <c r="K212" s="420"/>
      <c r="L212" s="420"/>
      <c r="M212" s="420"/>
      <c r="N212" s="421"/>
      <c r="O212" s="422"/>
      <c r="P212" s="422"/>
      <c r="Q212" s="422"/>
      <c r="R212" s="422"/>
      <c r="S212" s="422"/>
      <c r="T212" s="422"/>
    </row>
    <row r="213" spans="1:12" s="251" customFormat="1" ht="15" customHeight="1">
      <c r="A213" s="750"/>
      <c r="B213" s="725"/>
      <c r="C213" s="764" t="s">
        <v>306</v>
      </c>
      <c r="D213" s="464" t="s">
        <v>158</v>
      </c>
      <c r="E213" s="239">
        <v>9</v>
      </c>
      <c r="F213" s="296"/>
      <c r="G213" s="240">
        <f>$E213*F213</f>
        <v>0</v>
      </c>
      <c r="H213" s="250"/>
      <c r="I213" s="250"/>
      <c r="J213" s="249"/>
      <c r="K213" s="250"/>
      <c r="L213" s="250"/>
    </row>
    <row r="214" spans="1:12" s="251" customFormat="1" ht="15" customHeight="1">
      <c r="A214" s="877"/>
      <c r="B214" s="725"/>
      <c r="C214" s="878"/>
      <c r="D214" s="467"/>
      <c r="E214" s="419"/>
      <c r="F214" s="419"/>
      <c r="G214" s="424"/>
      <c r="H214" s="250"/>
      <c r="I214" s="250"/>
      <c r="J214" s="249"/>
      <c r="K214" s="250"/>
      <c r="L214" s="250"/>
    </row>
    <row r="215" spans="1:12" s="251" customFormat="1" ht="15" customHeight="1">
      <c r="A215" s="268" t="s">
        <v>2348</v>
      </c>
      <c r="B215" s="725"/>
      <c r="C215" s="764" t="s">
        <v>308</v>
      </c>
      <c r="D215" s="464" t="s">
        <v>309</v>
      </c>
      <c r="E215" s="239">
        <f>SUM(D216)</f>
        <v>11.9</v>
      </c>
      <c r="F215" s="296"/>
      <c r="G215" s="240">
        <f>$E215*F215</f>
        <v>0</v>
      </c>
      <c r="H215" s="250"/>
      <c r="I215" s="250"/>
      <c r="J215" s="249"/>
      <c r="K215" s="250"/>
      <c r="L215" s="250"/>
    </row>
    <row r="216" spans="1:12" s="251" customFormat="1" ht="15" customHeight="1">
      <c r="A216" s="465"/>
      <c r="B216" s="205"/>
      <c r="C216" s="466" t="s">
        <v>1980</v>
      </c>
      <c r="D216" s="467">
        <f>1.5+1.3*8</f>
        <v>11.9</v>
      </c>
      <c r="E216" s="247"/>
      <c r="F216" s="247"/>
      <c r="G216" s="248"/>
      <c r="H216" s="250"/>
      <c r="I216" s="250"/>
      <c r="J216" s="249"/>
      <c r="K216" s="250"/>
      <c r="L216" s="250"/>
    </row>
    <row r="217" spans="1:12" s="244" customFormat="1" ht="14" thickBot="1">
      <c r="A217" s="286"/>
      <c r="B217" s="412"/>
      <c r="C217" s="220"/>
      <c r="D217" s="221"/>
      <c r="E217" s="414"/>
      <c r="F217" s="414"/>
      <c r="G217" s="418"/>
      <c r="H217" s="241"/>
      <c r="I217" s="241"/>
      <c r="J217" s="241"/>
      <c r="K217" s="241"/>
      <c r="L217" s="241"/>
    </row>
    <row r="218" spans="1:7" ht="13" thickBot="1">
      <c r="A218" s="225"/>
      <c r="B218" s="226"/>
      <c r="C218" s="227" t="s">
        <v>113</v>
      </c>
      <c r="D218" s="226"/>
      <c r="E218" s="416"/>
      <c r="F218" s="417"/>
      <c r="G218" s="230">
        <f>SUBTOTAL(9,G114:G217)</f>
        <v>0</v>
      </c>
    </row>
    <row r="219" spans="1:7" ht="13" thickBot="1">
      <c r="A219" s="179"/>
      <c r="B219" s="180"/>
      <c r="C219" s="180"/>
      <c r="D219" s="180"/>
      <c r="E219" s="180"/>
      <c r="F219" s="180"/>
      <c r="G219" s="396"/>
    </row>
    <row r="220" spans="1:7" ht="13" thickBot="1">
      <c r="A220" s="182" t="s">
        <v>166</v>
      </c>
      <c r="B220" s="183"/>
      <c r="C220" s="184" t="s">
        <v>154</v>
      </c>
      <c r="D220" s="397"/>
      <c r="E220" s="398"/>
      <c r="F220" s="187"/>
      <c r="G220" s="399"/>
    </row>
    <row r="221" spans="1:7" ht="12.75">
      <c r="A221" s="189"/>
      <c r="B221" s="400"/>
      <c r="C221" s="232"/>
      <c r="D221" s="233"/>
      <c r="E221" s="401"/>
      <c r="F221" s="402"/>
      <c r="G221" s="403"/>
    </row>
    <row r="222" spans="1:18" s="204" customFormat="1" ht="20.25" customHeight="1">
      <c r="A222" s="751" t="s">
        <v>168</v>
      </c>
      <c r="B222" s="778">
        <v>642944121</v>
      </c>
      <c r="C222" s="823" t="s">
        <v>1740</v>
      </c>
      <c r="D222" s="778" t="s">
        <v>175</v>
      </c>
      <c r="E222" s="821">
        <v>2</v>
      </c>
      <c r="F222" s="821"/>
      <c r="G222" s="781">
        <f>E222*F222</f>
        <v>0</v>
      </c>
      <c r="H222" s="85">
        <v>0.04684</v>
      </c>
      <c r="I222" s="85">
        <f aca="true" t="shared" si="6" ref="I222:I227">E222*H222</f>
        <v>0.09368</v>
      </c>
      <c r="J222" s="201">
        <v>0</v>
      </c>
      <c r="K222" s="201">
        <f aca="true" t="shared" si="7" ref="K222:K227">E222*J222</f>
        <v>0</v>
      </c>
      <c r="L222" s="481"/>
      <c r="O222" s="794"/>
      <c r="P222" s="806"/>
      <c r="Q222" s="806"/>
      <c r="R222" s="820"/>
    </row>
    <row r="223" spans="1:18" s="204" customFormat="1" ht="20.25" customHeight="1">
      <c r="A223" s="751" t="s">
        <v>268</v>
      </c>
      <c r="B223" s="778" t="s">
        <v>1126</v>
      </c>
      <c r="C223" s="823" t="s">
        <v>1127</v>
      </c>
      <c r="D223" s="778" t="s">
        <v>175</v>
      </c>
      <c r="E223" s="821">
        <v>2</v>
      </c>
      <c r="F223" s="821"/>
      <c r="G223" s="781">
        <f aca="true" t="shared" si="8" ref="G223:G229">E223*F223</f>
        <v>0</v>
      </c>
      <c r="H223" s="85">
        <v>0</v>
      </c>
      <c r="I223" s="85">
        <f t="shared" si="6"/>
        <v>0</v>
      </c>
      <c r="J223" s="201">
        <v>0</v>
      </c>
      <c r="K223" s="201">
        <f t="shared" si="7"/>
        <v>0</v>
      </c>
      <c r="L223" s="481"/>
      <c r="O223" s="794"/>
      <c r="P223" s="806"/>
      <c r="Q223" s="806"/>
      <c r="R223" s="820"/>
    </row>
    <row r="224" spans="1:18" s="204" customFormat="1" ht="27" customHeight="1">
      <c r="A224" s="751" t="s">
        <v>269</v>
      </c>
      <c r="B224" s="305">
        <v>766682122</v>
      </c>
      <c r="C224" s="306" t="s">
        <v>1820</v>
      </c>
      <c r="D224" s="778" t="s">
        <v>175</v>
      </c>
      <c r="E224" s="439">
        <v>2</v>
      </c>
      <c r="F224" s="439"/>
      <c r="G224" s="781">
        <f>E224*F224</f>
        <v>0</v>
      </c>
      <c r="H224" s="85">
        <v>0.00047</v>
      </c>
      <c r="I224" s="85">
        <f t="shared" si="6"/>
        <v>0.00094</v>
      </c>
      <c r="J224" s="201">
        <v>0</v>
      </c>
      <c r="K224" s="201">
        <f t="shared" si="7"/>
        <v>0</v>
      </c>
      <c r="L224" s="481"/>
      <c r="O224" s="794"/>
      <c r="P224" s="806"/>
      <c r="Q224" s="806"/>
      <c r="R224" s="820"/>
    </row>
    <row r="225" spans="1:18" s="204" customFormat="1" ht="35.25" customHeight="1">
      <c r="A225" s="751" t="s">
        <v>329</v>
      </c>
      <c r="B225" s="305">
        <v>766660173</v>
      </c>
      <c r="C225" s="306" t="s">
        <v>1982</v>
      </c>
      <c r="D225" s="778" t="s">
        <v>175</v>
      </c>
      <c r="E225" s="439">
        <v>2</v>
      </c>
      <c r="F225" s="439"/>
      <c r="G225" s="781">
        <f t="shared" si="8"/>
        <v>0</v>
      </c>
      <c r="H225" s="85">
        <v>0</v>
      </c>
      <c r="I225" s="85">
        <f t="shared" si="6"/>
        <v>0</v>
      </c>
      <c r="J225" s="201">
        <v>0</v>
      </c>
      <c r="K225" s="201">
        <f t="shared" si="7"/>
        <v>0</v>
      </c>
      <c r="L225" s="481"/>
      <c r="O225" s="794"/>
      <c r="P225" s="806"/>
      <c r="Q225" s="806"/>
      <c r="R225" s="820"/>
    </row>
    <row r="226" spans="1:18" s="204" customFormat="1" ht="27" customHeight="1">
      <c r="A226" s="751" t="s">
        <v>330</v>
      </c>
      <c r="B226" s="305">
        <v>766682113</v>
      </c>
      <c r="C226" s="306" t="s">
        <v>1833</v>
      </c>
      <c r="D226" s="778" t="s">
        <v>175</v>
      </c>
      <c r="E226" s="439">
        <v>1</v>
      </c>
      <c r="F226" s="439"/>
      <c r="G226" s="781">
        <f>E226*F226</f>
        <v>0</v>
      </c>
      <c r="H226" s="85">
        <v>0.00047</v>
      </c>
      <c r="I226" s="85">
        <f t="shared" si="6"/>
        <v>0.00047</v>
      </c>
      <c r="J226" s="201">
        <v>0</v>
      </c>
      <c r="K226" s="201">
        <f t="shared" si="7"/>
        <v>0</v>
      </c>
      <c r="L226" s="481"/>
      <c r="O226" s="794"/>
      <c r="P226" s="806"/>
      <c r="Q226" s="806"/>
      <c r="R226" s="820"/>
    </row>
    <row r="227" spans="1:18" s="204" customFormat="1" ht="35.25" customHeight="1">
      <c r="A227" s="751" t="s">
        <v>331</v>
      </c>
      <c r="B227" s="305">
        <v>766660171</v>
      </c>
      <c r="C227" s="306" t="s">
        <v>1985</v>
      </c>
      <c r="D227" s="778" t="s">
        <v>175</v>
      </c>
      <c r="E227" s="439">
        <v>1</v>
      </c>
      <c r="F227" s="439"/>
      <c r="G227" s="781">
        <f>E227*F227</f>
        <v>0</v>
      </c>
      <c r="H227" s="85">
        <v>0</v>
      </c>
      <c r="I227" s="85">
        <f t="shared" si="6"/>
        <v>0</v>
      </c>
      <c r="J227" s="201">
        <v>0</v>
      </c>
      <c r="K227" s="201">
        <f t="shared" si="7"/>
        <v>0</v>
      </c>
      <c r="L227" s="481"/>
      <c r="O227" s="794"/>
      <c r="P227" s="806"/>
      <c r="Q227" s="806"/>
      <c r="R227" s="820"/>
    </row>
    <row r="228" spans="1:18" s="579" customFormat="1" ht="24" customHeight="1">
      <c r="A228" s="824"/>
      <c r="B228" s="825"/>
      <c r="C228" s="826" t="s">
        <v>1819</v>
      </c>
      <c r="D228" s="825"/>
      <c r="E228" s="827"/>
      <c r="F228" s="827"/>
      <c r="G228" s="828"/>
      <c r="H228" s="217"/>
      <c r="I228" s="217"/>
      <c r="J228" s="216"/>
      <c r="K228" s="216"/>
      <c r="L228" s="829"/>
      <c r="O228" s="830"/>
      <c r="P228" s="831"/>
      <c r="Q228" s="831"/>
      <c r="R228" s="832"/>
    </row>
    <row r="229" spans="1:12" s="244" customFormat="1" ht="121">
      <c r="A229" s="751" t="s">
        <v>332</v>
      </c>
      <c r="B229" s="433" t="s">
        <v>1981</v>
      </c>
      <c r="C229" s="306" t="s">
        <v>2350</v>
      </c>
      <c r="D229" s="305" t="s">
        <v>175</v>
      </c>
      <c r="E229" s="439">
        <v>2</v>
      </c>
      <c r="F229" s="296"/>
      <c r="G229" s="781">
        <f t="shared" si="8"/>
        <v>0</v>
      </c>
      <c r="H229" s="241"/>
      <c r="I229" s="241"/>
      <c r="J229" s="241"/>
      <c r="K229" s="241"/>
      <c r="L229" s="241"/>
    </row>
    <row r="230" spans="1:12" s="244" customFormat="1" ht="122.25" customHeight="1">
      <c r="A230" s="751" t="s">
        <v>333</v>
      </c>
      <c r="B230" s="433" t="s">
        <v>319</v>
      </c>
      <c r="C230" s="294" t="s">
        <v>2351</v>
      </c>
      <c r="D230" s="295" t="s">
        <v>158</v>
      </c>
      <c r="E230" s="239">
        <v>2</v>
      </c>
      <c r="F230" s="296"/>
      <c r="G230" s="240">
        <f aca="true" t="shared" si="9" ref="G230:G235">$E230*F230</f>
        <v>0</v>
      </c>
      <c r="H230" s="242"/>
      <c r="I230" s="241"/>
      <c r="L230" s="241"/>
    </row>
    <row r="231" spans="1:12" s="244" customFormat="1" ht="118.5" customHeight="1">
      <c r="A231" s="751" t="s">
        <v>373</v>
      </c>
      <c r="B231" s="433" t="s">
        <v>320</v>
      </c>
      <c r="C231" s="294" t="s">
        <v>2352</v>
      </c>
      <c r="D231" s="295" t="s">
        <v>158</v>
      </c>
      <c r="E231" s="239">
        <v>1</v>
      </c>
      <c r="F231" s="296"/>
      <c r="G231" s="240">
        <f t="shared" si="9"/>
        <v>0</v>
      </c>
      <c r="H231" s="242"/>
      <c r="I231" s="241"/>
      <c r="L231" s="241"/>
    </row>
    <row r="232" spans="1:12" s="244" customFormat="1" ht="39" customHeight="1">
      <c r="A232" s="751" t="s">
        <v>374</v>
      </c>
      <c r="B232" s="197" t="s">
        <v>321</v>
      </c>
      <c r="C232" s="294" t="s">
        <v>2357</v>
      </c>
      <c r="D232" s="295" t="s">
        <v>158</v>
      </c>
      <c r="E232" s="239">
        <v>18</v>
      </c>
      <c r="F232" s="296"/>
      <c r="G232" s="240">
        <f t="shared" si="9"/>
        <v>0</v>
      </c>
      <c r="H232" s="242"/>
      <c r="I232" s="241"/>
      <c r="L232" s="241"/>
    </row>
    <row r="233" spans="1:12" s="244" customFormat="1" ht="30" customHeight="1">
      <c r="A233" s="751" t="s">
        <v>376</v>
      </c>
      <c r="B233" s="197" t="s">
        <v>322</v>
      </c>
      <c r="C233" s="294" t="s">
        <v>323</v>
      </c>
      <c r="D233" s="295" t="s">
        <v>161</v>
      </c>
      <c r="E233" s="239">
        <v>1</v>
      </c>
      <c r="F233" s="296"/>
      <c r="G233" s="240">
        <f t="shared" si="9"/>
        <v>0</v>
      </c>
      <c r="H233" s="242"/>
      <c r="I233" s="241"/>
      <c r="L233" s="241"/>
    </row>
    <row r="234" spans="1:12" s="244" customFormat="1" ht="30" customHeight="1">
      <c r="A234" s="751" t="s">
        <v>378</v>
      </c>
      <c r="B234" s="197" t="s">
        <v>324</v>
      </c>
      <c r="C234" s="294" t="s">
        <v>325</v>
      </c>
      <c r="D234" s="295" t="s">
        <v>161</v>
      </c>
      <c r="E234" s="239">
        <v>1</v>
      </c>
      <c r="F234" s="296"/>
      <c r="G234" s="240">
        <f t="shared" si="9"/>
        <v>0</v>
      </c>
      <c r="H234" s="242"/>
      <c r="I234" s="241"/>
      <c r="L234" s="241"/>
    </row>
    <row r="235" spans="1:12" s="251" customFormat="1" ht="36.75" customHeight="1">
      <c r="A235" s="751" t="s">
        <v>380</v>
      </c>
      <c r="B235" s="197" t="s">
        <v>326</v>
      </c>
      <c r="C235" s="238" t="s">
        <v>1357</v>
      </c>
      <c r="D235" s="476" t="s">
        <v>158</v>
      </c>
      <c r="E235" s="426">
        <v>1</v>
      </c>
      <c r="F235" s="426"/>
      <c r="G235" s="240">
        <f t="shared" si="9"/>
        <v>0</v>
      </c>
      <c r="H235" s="427"/>
      <c r="I235" s="428"/>
      <c r="J235" s="427"/>
      <c r="K235" s="427"/>
      <c r="L235" s="427"/>
    </row>
    <row r="236" spans="1:7" ht="14" thickBot="1">
      <c r="A236" s="218"/>
      <c r="B236" s="412"/>
      <c r="C236" s="220"/>
      <c r="D236" s="221"/>
      <c r="E236" s="413"/>
      <c r="F236" s="414"/>
      <c r="G236" s="415"/>
    </row>
    <row r="237" spans="1:7" ht="13" thickBot="1">
      <c r="A237" s="225"/>
      <c r="B237" s="226"/>
      <c r="C237" s="227" t="s">
        <v>113</v>
      </c>
      <c r="D237" s="226"/>
      <c r="E237" s="416"/>
      <c r="F237" s="417"/>
      <c r="G237" s="230">
        <f>SUBTOTAL(9,G221:G236)</f>
        <v>0</v>
      </c>
    </row>
    <row r="238" spans="1:7" ht="13" thickBot="1">
      <c r="A238" s="179"/>
      <c r="B238" s="180"/>
      <c r="C238" s="180"/>
      <c r="D238" s="180"/>
      <c r="E238" s="180"/>
      <c r="F238" s="180"/>
      <c r="G238" s="396"/>
    </row>
    <row r="239" spans="1:20" s="80" customFormat="1" ht="13" thickBot="1">
      <c r="A239" s="182" t="s">
        <v>170</v>
      </c>
      <c r="B239" s="183" t="s">
        <v>1056</v>
      </c>
      <c r="C239" s="184" t="s">
        <v>1057</v>
      </c>
      <c r="D239" s="185"/>
      <c r="E239" s="186"/>
      <c r="F239" s="187"/>
      <c r="G239" s="188"/>
      <c r="H239" s="77"/>
      <c r="I239" s="77"/>
      <c r="J239" s="77"/>
      <c r="K239" s="77"/>
      <c r="L239" s="77"/>
      <c r="M239" s="77"/>
      <c r="N239" s="78"/>
      <c r="O239" s="79"/>
      <c r="P239" s="79"/>
      <c r="Q239" s="79"/>
      <c r="R239" s="79"/>
      <c r="S239" s="79"/>
      <c r="T239" s="79"/>
    </row>
    <row r="240" spans="1:20" s="80" customFormat="1" ht="12.75">
      <c r="A240" s="189"/>
      <c r="B240" s="231"/>
      <c r="C240" s="232"/>
      <c r="D240" s="233"/>
      <c r="E240" s="234"/>
      <c r="F240" s="235"/>
      <c r="G240" s="236"/>
      <c r="H240" s="77"/>
      <c r="I240" s="77"/>
      <c r="J240" s="77"/>
      <c r="K240" s="77"/>
      <c r="L240" s="77"/>
      <c r="M240" s="77"/>
      <c r="N240" s="78"/>
      <c r="O240" s="79"/>
      <c r="P240" s="79"/>
      <c r="Q240" s="79"/>
      <c r="R240" s="79"/>
      <c r="S240" s="79"/>
      <c r="T240" s="79"/>
    </row>
    <row r="241" spans="1:20" s="204" customFormat="1" ht="29.25" customHeight="1">
      <c r="A241" s="196" t="s">
        <v>171</v>
      </c>
      <c r="B241" s="197" t="s">
        <v>1935</v>
      </c>
      <c r="C241" s="136" t="s">
        <v>1936</v>
      </c>
      <c r="D241" s="198" t="s">
        <v>46</v>
      </c>
      <c r="E241" s="199">
        <f>53.4-2.6</f>
        <v>50.8</v>
      </c>
      <c r="F241" s="199"/>
      <c r="G241" s="200">
        <f>E241*F241</f>
        <v>0</v>
      </c>
      <c r="H241" s="201">
        <v>0.01388</v>
      </c>
      <c r="I241" s="201">
        <f>E241*H241</f>
        <v>0.705104</v>
      </c>
      <c r="J241" s="85">
        <v>0</v>
      </c>
      <c r="K241" s="85">
        <f>E241*J241</f>
        <v>0</v>
      </c>
      <c r="L241" s="85"/>
      <c r="M241" s="85"/>
      <c r="N241" s="202"/>
      <c r="O241" s="203"/>
      <c r="P241" s="203"/>
      <c r="Q241" s="203"/>
      <c r="R241" s="203"/>
      <c r="S241" s="203"/>
      <c r="T241" s="203"/>
    </row>
    <row r="242" spans="1:20" s="204" customFormat="1" ht="24" customHeight="1">
      <c r="A242" s="196" t="s">
        <v>172</v>
      </c>
      <c r="B242" s="778" t="s">
        <v>2353</v>
      </c>
      <c r="C242" s="782" t="s">
        <v>2354</v>
      </c>
      <c r="D242" s="783" t="s">
        <v>161</v>
      </c>
      <c r="E242" s="739">
        <v>1</v>
      </c>
      <c r="F242" s="739"/>
      <c r="G242" s="200">
        <f>E242*F242</f>
        <v>0</v>
      </c>
      <c r="H242" s="201">
        <v>0.0251</v>
      </c>
      <c r="I242" s="201">
        <f>E242*H242</f>
        <v>0.0251</v>
      </c>
      <c r="J242" s="85"/>
      <c r="K242" s="85"/>
      <c r="L242" s="85"/>
      <c r="M242" s="85"/>
      <c r="N242" s="202"/>
      <c r="O242" s="203"/>
      <c r="P242" s="203"/>
      <c r="Q242" s="203"/>
      <c r="R242" s="203"/>
      <c r="S242" s="203"/>
      <c r="T242" s="203"/>
    </row>
    <row r="243" spans="1:20" s="204" customFormat="1" ht="25.5" customHeight="1">
      <c r="A243" s="196" t="s">
        <v>173</v>
      </c>
      <c r="B243" s="197" t="s">
        <v>1320</v>
      </c>
      <c r="C243" s="136" t="s">
        <v>1321</v>
      </c>
      <c r="D243" s="198" t="s">
        <v>73</v>
      </c>
      <c r="E243" s="199">
        <f>I243</f>
        <v>0.705104</v>
      </c>
      <c r="F243" s="199"/>
      <c r="G243" s="200">
        <f>E243*F243</f>
        <v>0</v>
      </c>
      <c r="H243" s="85"/>
      <c r="I243" s="217">
        <f>SUM(I241)</f>
        <v>0.705104</v>
      </c>
      <c r="J243" s="201">
        <v>0</v>
      </c>
      <c r="K243" s="217">
        <f>SUM(K239:K241)</f>
        <v>0</v>
      </c>
      <c r="L243" s="85"/>
      <c r="M243" s="85"/>
      <c r="N243" s="202"/>
      <c r="O243" s="203"/>
      <c r="P243" s="203"/>
      <c r="Q243" s="203"/>
      <c r="R243" s="203"/>
      <c r="S243" s="203"/>
      <c r="T243" s="203"/>
    </row>
    <row r="244" spans="1:20" s="80" customFormat="1" ht="14.25" customHeight="1" thickBot="1">
      <c r="A244" s="218"/>
      <c r="B244" s="219"/>
      <c r="C244" s="220"/>
      <c r="D244" s="221"/>
      <c r="E244" s="222"/>
      <c r="F244" s="223"/>
      <c r="G244" s="224"/>
      <c r="H244" s="77"/>
      <c r="I244" s="77"/>
      <c r="J244" s="77"/>
      <c r="K244" s="77"/>
      <c r="L244" s="77"/>
      <c r="M244" s="77"/>
      <c r="N244" s="78"/>
      <c r="O244" s="79"/>
      <c r="P244" s="79"/>
      <c r="Q244" s="79"/>
      <c r="R244" s="79"/>
      <c r="S244" s="79"/>
      <c r="T244" s="79"/>
    </row>
    <row r="245" spans="1:20" s="80" customFormat="1" ht="13" thickBot="1">
      <c r="A245" s="225"/>
      <c r="B245" s="226"/>
      <c r="C245" s="227" t="s">
        <v>113</v>
      </c>
      <c r="D245" s="226"/>
      <c r="E245" s="228"/>
      <c r="F245" s="229"/>
      <c r="G245" s="230">
        <f>SUBTOTAL(9,G240:G244)</f>
        <v>0</v>
      </c>
      <c r="H245" s="77"/>
      <c r="I245" s="77"/>
      <c r="J245" s="77"/>
      <c r="K245" s="291"/>
      <c r="L245" s="77"/>
      <c r="M245" s="77"/>
      <c r="N245" s="78"/>
      <c r="O245" s="79"/>
      <c r="P245" s="79"/>
      <c r="Q245" s="79"/>
      <c r="R245" s="79"/>
      <c r="S245" s="79"/>
      <c r="T245" s="79"/>
    </row>
    <row r="246" spans="1:20" s="80" customFormat="1" ht="13" thickBot="1">
      <c r="A246" s="179"/>
      <c r="B246" s="180"/>
      <c r="C246" s="180"/>
      <c r="D246" s="180"/>
      <c r="E246" s="180"/>
      <c r="F246" s="180"/>
      <c r="G246" s="181"/>
      <c r="H246" s="77"/>
      <c r="I246" s="77"/>
      <c r="J246" s="77"/>
      <c r="K246" s="77"/>
      <c r="L246" s="77"/>
      <c r="M246" s="77"/>
      <c r="N246" s="78"/>
      <c r="O246" s="79"/>
      <c r="P246" s="79"/>
      <c r="Q246" s="79"/>
      <c r="R246" s="79"/>
      <c r="S246" s="79"/>
      <c r="T246" s="79"/>
    </row>
    <row r="247" spans="1:7" ht="13" thickBot="1">
      <c r="A247" s="182" t="s">
        <v>183</v>
      </c>
      <c r="B247" s="183" t="s">
        <v>264</v>
      </c>
      <c r="C247" s="184" t="s">
        <v>327</v>
      </c>
      <c r="D247" s="397"/>
      <c r="E247" s="398"/>
      <c r="F247" s="187"/>
      <c r="G247" s="399"/>
    </row>
    <row r="248" spans="1:7" ht="12.75">
      <c r="A248" s="189"/>
      <c r="B248" s="400"/>
      <c r="C248" s="232"/>
      <c r="D248" s="233"/>
      <c r="E248" s="401"/>
      <c r="F248" s="402"/>
      <c r="G248" s="403"/>
    </row>
    <row r="249" spans="1:12" s="244" customFormat="1" ht="18" customHeight="1">
      <c r="A249" s="196" t="s">
        <v>185</v>
      </c>
      <c r="B249" s="197">
        <v>775591919</v>
      </c>
      <c r="C249" s="167" t="s">
        <v>328</v>
      </c>
      <c r="D249" s="197" t="s">
        <v>46</v>
      </c>
      <c r="E249" s="239">
        <v>334.7</v>
      </c>
      <c r="F249" s="239"/>
      <c r="G249" s="240">
        <f aca="true" t="shared" si="10" ref="G249:G265">$E249*F249</f>
        <v>0</v>
      </c>
      <c r="H249" s="241">
        <v>0.00017000000000000004</v>
      </c>
      <c r="I249" s="241">
        <f>E249*H249</f>
        <v>0.05689900000000001</v>
      </c>
      <c r="J249" s="241">
        <v>0</v>
      </c>
      <c r="K249" s="241">
        <f>E249*J249</f>
        <v>0</v>
      </c>
      <c r="L249" s="241"/>
    </row>
    <row r="250" spans="1:12" s="244" customFormat="1" ht="18" customHeight="1">
      <c r="A250" s="196" t="s">
        <v>187</v>
      </c>
      <c r="B250" s="197">
        <v>775591920</v>
      </c>
      <c r="C250" s="167" t="s">
        <v>1932</v>
      </c>
      <c r="D250" s="197" t="s">
        <v>46</v>
      </c>
      <c r="E250" s="239">
        <v>334.7</v>
      </c>
      <c r="F250" s="239"/>
      <c r="G250" s="240">
        <f t="shared" si="10"/>
        <v>0</v>
      </c>
      <c r="H250" s="241"/>
      <c r="I250" s="241"/>
      <c r="J250" s="241"/>
      <c r="K250" s="241"/>
      <c r="L250" s="241"/>
    </row>
    <row r="251" spans="1:12" s="244" customFormat="1" ht="16.5" customHeight="1">
      <c r="A251" s="196" t="s">
        <v>189</v>
      </c>
      <c r="B251" s="197" t="s">
        <v>273</v>
      </c>
      <c r="C251" s="294" t="s">
        <v>274</v>
      </c>
      <c r="D251" s="295" t="s">
        <v>46</v>
      </c>
      <c r="E251" s="296">
        <f>E249</f>
        <v>334.7</v>
      </c>
      <c r="F251" s="749"/>
      <c r="G251" s="240">
        <f t="shared" si="10"/>
        <v>0</v>
      </c>
      <c r="H251" s="241">
        <v>0.00016</v>
      </c>
      <c r="I251" s="241">
        <f aca="true" t="shared" si="11" ref="I251:I265">E251*H251</f>
        <v>0.053552</v>
      </c>
      <c r="J251" s="243">
        <v>0</v>
      </c>
      <c r="K251" s="243">
        <f aca="true" t="shared" si="12" ref="K251:K265">E251*J251</f>
        <v>0</v>
      </c>
      <c r="L251" s="241"/>
    </row>
    <row r="252" spans="1:12" s="244" customFormat="1" ht="16.5" customHeight="1">
      <c r="A252" s="196" t="s">
        <v>282</v>
      </c>
      <c r="B252" s="197" t="s">
        <v>275</v>
      </c>
      <c r="C252" s="294" t="s">
        <v>276</v>
      </c>
      <c r="D252" s="295" t="s">
        <v>46</v>
      </c>
      <c r="E252" s="296">
        <f>E249</f>
        <v>334.7</v>
      </c>
      <c r="F252" s="749"/>
      <c r="G252" s="240">
        <f t="shared" si="10"/>
        <v>0</v>
      </c>
      <c r="H252" s="241">
        <v>0.00019</v>
      </c>
      <c r="I252" s="241">
        <f t="shared" si="11"/>
        <v>0.063593</v>
      </c>
      <c r="J252" s="243">
        <v>0</v>
      </c>
      <c r="K252" s="243">
        <f t="shared" si="12"/>
        <v>0</v>
      </c>
      <c r="L252" s="241"/>
    </row>
    <row r="253" spans="1:12" s="244" customFormat="1" ht="16.5" customHeight="1">
      <c r="A253" s="196" t="s">
        <v>283</v>
      </c>
      <c r="B253" s="197" t="s">
        <v>277</v>
      </c>
      <c r="C253" s="294" t="s">
        <v>278</v>
      </c>
      <c r="D253" s="295" t="s">
        <v>46</v>
      </c>
      <c r="E253" s="296">
        <f>E249</f>
        <v>334.7</v>
      </c>
      <c r="F253" s="749"/>
      <c r="G253" s="240">
        <f t="shared" si="10"/>
        <v>0</v>
      </c>
      <c r="H253" s="241">
        <v>1E-05</v>
      </c>
      <c r="I253" s="241">
        <f t="shared" si="11"/>
        <v>0.003347</v>
      </c>
      <c r="J253" s="243">
        <v>0</v>
      </c>
      <c r="K253" s="243">
        <f t="shared" si="12"/>
        <v>0</v>
      </c>
      <c r="L253" s="241"/>
    </row>
    <row r="254" spans="1:12" s="244" customFormat="1" ht="16.5" customHeight="1">
      <c r="A254" s="196" t="s">
        <v>284</v>
      </c>
      <c r="B254" s="197" t="s">
        <v>1627</v>
      </c>
      <c r="C254" s="294" t="s">
        <v>1628</v>
      </c>
      <c r="D254" s="295" t="s">
        <v>46</v>
      </c>
      <c r="E254" s="296">
        <f>E249</f>
        <v>334.7</v>
      </c>
      <c r="F254" s="296"/>
      <c r="G254" s="240">
        <f t="shared" si="10"/>
        <v>0</v>
      </c>
      <c r="H254" s="241">
        <v>4E-05</v>
      </c>
      <c r="I254" s="241">
        <f t="shared" si="11"/>
        <v>0.013388</v>
      </c>
      <c r="J254" s="243">
        <v>0</v>
      </c>
      <c r="K254" s="243">
        <f t="shared" si="12"/>
        <v>0</v>
      </c>
      <c r="L254" s="241"/>
    </row>
    <row r="255" spans="1:12" s="244" customFormat="1" ht="18" customHeight="1">
      <c r="A255" s="196" t="s">
        <v>285</v>
      </c>
      <c r="B255" s="305">
        <v>771121011</v>
      </c>
      <c r="C255" s="306" t="s">
        <v>272</v>
      </c>
      <c r="D255" s="305" t="s">
        <v>46</v>
      </c>
      <c r="E255" s="239">
        <v>8.8</v>
      </c>
      <c r="F255" s="439"/>
      <c r="G255" s="240">
        <f t="shared" si="10"/>
        <v>0</v>
      </c>
      <c r="H255" s="241">
        <v>0.0003</v>
      </c>
      <c r="I255" s="241">
        <f t="shared" si="11"/>
        <v>0.00264</v>
      </c>
      <c r="J255" s="243">
        <v>0</v>
      </c>
      <c r="K255" s="243">
        <f t="shared" si="12"/>
        <v>0</v>
      </c>
      <c r="L255" s="241"/>
    </row>
    <row r="256" spans="1:12" s="244" customFormat="1" ht="48" customHeight="1">
      <c r="A256" s="196" t="s">
        <v>286</v>
      </c>
      <c r="B256" s="197" t="s">
        <v>1626</v>
      </c>
      <c r="C256" s="294" t="s">
        <v>1625</v>
      </c>
      <c r="D256" s="295" t="s">
        <v>46</v>
      </c>
      <c r="E256" s="297">
        <f>E255</f>
        <v>8.8</v>
      </c>
      <c r="F256" s="296"/>
      <c r="G256" s="240">
        <f t="shared" si="10"/>
        <v>0</v>
      </c>
      <c r="H256" s="241">
        <v>0.01761</v>
      </c>
      <c r="I256" s="241">
        <f t="shared" si="11"/>
        <v>0.15496800000000002</v>
      </c>
      <c r="J256" s="241">
        <v>0</v>
      </c>
      <c r="K256" s="241">
        <f t="shared" si="12"/>
        <v>0</v>
      </c>
      <c r="L256" s="241"/>
    </row>
    <row r="257" spans="1:12" s="244" customFormat="1" ht="22.5" customHeight="1">
      <c r="A257" s="196" t="s">
        <v>287</v>
      </c>
      <c r="B257" s="945" t="s">
        <v>2413</v>
      </c>
      <c r="C257" s="992" t="s">
        <v>2414</v>
      </c>
      <c r="D257" s="993" t="s">
        <v>116</v>
      </c>
      <c r="E257" s="871">
        <v>12</v>
      </c>
      <c r="F257" s="994"/>
      <c r="G257" s="240">
        <f t="shared" si="10"/>
        <v>0</v>
      </c>
      <c r="H257" s="241">
        <v>0</v>
      </c>
      <c r="I257" s="241">
        <f t="shared" si="11"/>
        <v>0</v>
      </c>
      <c r="J257" s="241">
        <v>0</v>
      </c>
      <c r="K257" s="241">
        <f t="shared" si="12"/>
        <v>0</v>
      </c>
      <c r="L257" s="241"/>
    </row>
    <row r="258" spans="1:12" s="244" customFormat="1" ht="22.5" customHeight="1">
      <c r="A258" s="196" t="s">
        <v>288</v>
      </c>
      <c r="B258" s="945" t="s">
        <v>2415</v>
      </c>
      <c r="C258" s="992" t="s">
        <v>2416</v>
      </c>
      <c r="D258" s="993" t="s">
        <v>116</v>
      </c>
      <c r="E258" s="871">
        <f>E257*1.08+0.04</f>
        <v>13</v>
      </c>
      <c r="F258" s="994"/>
      <c r="G258" s="240">
        <f t="shared" si="10"/>
        <v>0</v>
      </c>
      <c r="H258" s="241">
        <v>0.000216</v>
      </c>
      <c r="I258" s="241">
        <f t="shared" si="11"/>
        <v>0.0028079999999999997</v>
      </c>
      <c r="J258" s="241">
        <v>0</v>
      </c>
      <c r="K258" s="241">
        <f t="shared" si="12"/>
        <v>0</v>
      </c>
      <c r="L258" s="241"/>
    </row>
    <row r="259" spans="1:12" s="244" customFormat="1" ht="15" customHeight="1">
      <c r="A259" s="750"/>
      <c r="B259" s="945"/>
      <c r="C259" s="992"/>
      <c r="D259" s="993"/>
      <c r="E259" s="871"/>
      <c r="F259" s="994"/>
      <c r="G259" s="780"/>
      <c r="H259" s="241"/>
      <c r="I259" s="241"/>
      <c r="J259" s="241"/>
      <c r="K259" s="241"/>
      <c r="L259" s="241"/>
    </row>
    <row r="260" spans="1:20" s="204" customFormat="1" ht="23.25" customHeight="1">
      <c r="A260" s="196" t="s">
        <v>535</v>
      </c>
      <c r="B260" s="969" t="s">
        <v>2343</v>
      </c>
      <c r="C260" s="970" t="s">
        <v>2344</v>
      </c>
      <c r="D260" s="971" t="s">
        <v>116</v>
      </c>
      <c r="E260" s="972">
        <v>1.6</v>
      </c>
      <c r="F260" s="972"/>
      <c r="G260" s="200">
        <f aca="true" t="shared" si="13" ref="G260:G261">E260*F260</f>
        <v>0</v>
      </c>
      <c r="H260" s="201"/>
      <c r="I260" s="201"/>
      <c r="J260" s="85"/>
      <c r="K260" s="85"/>
      <c r="L260" s="85"/>
      <c r="M260" s="85"/>
      <c r="N260" s="202"/>
      <c r="O260" s="203"/>
      <c r="P260" s="203"/>
      <c r="Q260" s="203"/>
      <c r="R260" s="203"/>
      <c r="S260" s="203"/>
      <c r="T260" s="203"/>
    </row>
    <row r="261" spans="1:20" s="204" customFormat="1" ht="23.25" customHeight="1">
      <c r="A261" s="196" t="s">
        <v>536</v>
      </c>
      <c r="B261" s="969" t="s">
        <v>2345</v>
      </c>
      <c r="C261" s="970" t="s">
        <v>2346</v>
      </c>
      <c r="D261" s="971" t="s">
        <v>116</v>
      </c>
      <c r="E261" s="972">
        <f>E260*1.08+0.07</f>
        <v>1.7980000000000003</v>
      </c>
      <c r="F261" s="972"/>
      <c r="G261" s="200">
        <f t="shared" si="13"/>
        <v>0</v>
      </c>
      <c r="H261" s="201"/>
      <c r="I261" s="201"/>
      <c r="J261" s="85"/>
      <c r="K261" s="85"/>
      <c r="L261" s="85"/>
      <c r="M261" s="85"/>
      <c r="N261" s="202"/>
      <c r="O261" s="203"/>
      <c r="P261" s="203"/>
      <c r="Q261" s="203"/>
      <c r="R261" s="203"/>
      <c r="S261" s="203"/>
      <c r="T261" s="203"/>
    </row>
    <row r="262" spans="1:12" s="244" customFormat="1" ht="16.5" customHeight="1">
      <c r="A262" s="196" t="s">
        <v>537</v>
      </c>
      <c r="B262" s="197" t="s">
        <v>273</v>
      </c>
      <c r="C262" s="294" t="s">
        <v>274</v>
      </c>
      <c r="D262" s="295" t="s">
        <v>46</v>
      </c>
      <c r="E262" s="296">
        <f>E255</f>
        <v>8.8</v>
      </c>
      <c r="F262" s="749"/>
      <c r="G262" s="240">
        <f t="shared" si="10"/>
        <v>0</v>
      </c>
      <c r="H262" s="241">
        <v>0.00016</v>
      </c>
      <c r="I262" s="241">
        <f t="shared" si="11"/>
        <v>0.0014080000000000002</v>
      </c>
      <c r="J262" s="243">
        <v>0</v>
      </c>
      <c r="K262" s="243">
        <f t="shared" si="12"/>
        <v>0</v>
      </c>
      <c r="L262" s="241"/>
    </row>
    <row r="263" spans="1:12" s="244" customFormat="1" ht="16.5" customHeight="1">
      <c r="A263" s="196" t="s">
        <v>538</v>
      </c>
      <c r="B263" s="197" t="s">
        <v>275</v>
      </c>
      <c r="C263" s="294" t="s">
        <v>276</v>
      </c>
      <c r="D263" s="295" t="s">
        <v>46</v>
      </c>
      <c r="E263" s="296">
        <f>E255</f>
        <v>8.8</v>
      </c>
      <c r="F263" s="749"/>
      <c r="G263" s="240">
        <f t="shared" si="10"/>
        <v>0</v>
      </c>
      <c r="H263" s="241">
        <v>0.00019</v>
      </c>
      <c r="I263" s="241">
        <f t="shared" si="11"/>
        <v>0.0016720000000000003</v>
      </c>
      <c r="J263" s="243">
        <v>0</v>
      </c>
      <c r="K263" s="243">
        <f t="shared" si="12"/>
        <v>0</v>
      </c>
      <c r="L263" s="241"/>
    </row>
    <row r="264" spans="1:12" s="244" customFormat="1" ht="16.5" customHeight="1">
      <c r="A264" s="196" t="s">
        <v>539</v>
      </c>
      <c r="B264" s="197" t="s">
        <v>277</v>
      </c>
      <c r="C264" s="294" t="s">
        <v>278</v>
      </c>
      <c r="D264" s="295" t="s">
        <v>46</v>
      </c>
      <c r="E264" s="296">
        <f>E255</f>
        <v>8.8</v>
      </c>
      <c r="F264" s="749"/>
      <c r="G264" s="240">
        <f t="shared" si="10"/>
        <v>0</v>
      </c>
      <c r="H264" s="241">
        <v>1E-05</v>
      </c>
      <c r="I264" s="241">
        <f t="shared" si="11"/>
        <v>8.800000000000001E-05</v>
      </c>
      <c r="J264" s="243">
        <v>0</v>
      </c>
      <c r="K264" s="243">
        <f t="shared" si="12"/>
        <v>0</v>
      </c>
      <c r="L264" s="241"/>
    </row>
    <row r="265" spans="1:12" s="244" customFormat="1" ht="16.5" customHeight="1">
      <c r="A265" s="196" t="s">
        <v>540</v>
      </c>
      <c r="B265" s="197" t="s">
        <v>1627</v>
      </c>
      <c r="C265" s="294" t="s">
        <v>1628</v>
      </c>
      <c r="D265" s="295" t="s">
        <v>46</v>
      </c>
      <c r="E265" s="296">
        <f>E255</f>
        <v>8.8</v>
      </c>
      <c r="F265" s="296"/>
      <c r="G265" s="240">
        <f t="shared" si="10"/>
        <v>0</v>
      </c>
      <c r="H265" s="241">
        <v>4E-05</v>
      </c>
      <c r="I265" s="241">
        <f t="shared" si="11"/>
        <v>0.00035200000000000005</v>
      </c>
      <c r="J265" s="243">
        <v>0</v>
      </c>
      <c r="K265" s="243">
        <f t="shared" si="12"/>
        <v>0</v>
      </c>
      <c r="L265" s="241"/>
    </row>
    <row r="266" spans="1:12" s="244" customFormat="1" ht="16.5" customHeight="1">
      <c r="A266" s="196" t="s">
        <v>1019</v>
      </c>
      <c r="B266" s="197" t="s">
        <v>279</v>
      </c>
      <c r="C266" s="294" t="s">
        <v>280</v>
      </c>
      <c r="D266" s="295" t="s">
        <v>73</v>
      </c>
      <c r="E266" s="297">
        <f>I266</f>
        <v>0.35471500000000006</v>
      </c>
      <c r="F266" s="296"/>
      <c r="G266" s="240">
        <f>$E266*F266</f>
        <v>0</v>
      </c>
      <c r="H266" s="241"/>
      <c r="I266" s="438">
        <f>SUM(I249:I265)</f>
        <v>0.35471500000000006</v>
      </c>
      <c r="J266" s="241"/>
      <c r="K266" s="438">
        <f>SUM(I248:I248)</f>
        <v>0</v>
      </c>
      <c r="L266" s="241"/>
    </row>
    <row r="267" spans="1:7" ht="14" thickBot="1">
      <c r="A267" s="218"/>
      <c r="B267" s="412"/>
      <c r="C267" s="220"/>
      <c r="D267" s="221"/>
      <c r="E267" s="413"/>
      <c r="F267" s="414"/>
      <c r="G267" s="415"/>
    </row>
    <row r="268" spans="1:7" ht="17.25" customHeight="1" thickBot="1">
      <c r="A268" s="225"/>
      <c r="B268" s="226"/>
      <c r="C268" s="227" t="s">
        <v>113</v>
      </c>
      <c r="D268" s="226"/>
      <c r="E268" s="416"/>
      <c r="F268" s="417"/>
      <c r="G268" s="230">
        <f>SUBTOTAL(9,G248:G267)</f>
        <v>0</v>
      </c>
    </row>
    <row r="269" spans="1:7" ht="13" thickBot="1">
      <c r="A269" s="179"/>
      <c r="B269" s="180"/>
      <c r="C269" s="180"/>
      <c r="D269" s="180"/>
      <c r="E269" s="180"/>
      <c r="F269" s="180"/>
      <c r="G269" s="396"/>
    </row>
    <row r="270" spans="1:7" ht="13" thickBot="1">
      <c r="A270" s="182" t="s">
        <v>139</v>
      </c>
      <c r="B270" s="183">
        <v>776</v>
      </c>
      <c r="C270" s="184" t="s">
        <v>334</v>
      </c>
      <c r="D270" s="397"/>
      <c r="E270" s="398"/>
      <c r="F270" s="187"/>
      <c r="G270" s="399"/>
    </row>
    <row r="271" spans="1:7" ht="12.75">
      <c r="A271" s="189"/>
      <c r="B271" s="400"/>
      <c r="C271" s="232"/>
      <c r="D271" s="233"/>
      <c r="E271" s="401"/>
      <c r="F271" s="402"/>
      <c r="G271" s="403"/>
    </row>
    <row r="272" spans="1:12" s="244" customFormat="1" ht="24.75" customHeight="1">
      <c r="A272" s="196" t="s">
        <v>192</v>
      </c>
      <c r="B272" s="197" t="s">
        <v>1630</v>
      </c>
      <c r="C272" s="294" t="s">
        <v>1631</v>
      </c>
      <c r="D272" s="295" t="s">
        <v>46</v>
      </c>
      <c r="E272" s="297">
        <v>53.4</v>
      </c>
      <c r="F272" s="296"/>
      <c r="G272" s="240">
        <f aca="true" t="shared" si="14" ref="G272:G277">$E272*F272</f>
        <v>0</v>
      </c>
      <c r="H272" s="243">
        <v>0.0002</v>
      </c>
      <c r="I272" s="243">
        <f aca="true" t="shared" si="15" ref="I272:I279">E272*H272</f>
        <v>0.01068</v>
      </c>
      <c r="J272" s="241">
        <v>0</v>
      </c>
      <c r="K272" s="241">
        <f aca="true" t="shared" si="16" ref="K272:K279">E272*J272</f>
        <v>0</v>
      </c>
      <c r="L272" s="241"/>
    </row>
    <row r="273" spans="1:12" s="244" customFormat="1" ht="19.5" customHeight="1">
      <c r="A273" s="196" t="s">
        <v>193</v>
      </c>
      <c r="B273" s="197">
        <v>776141122</v>
      </c>
      <c r="C273" s="294" t="s">
        <v>1938</v>
      </c>
      <c r="D273" s="295" t="s">
        <v>46</v>
      </c>
      <c r="E273" s="297">
        <v>53.4</v>
      </c>
      <c r="F273" s="296"/>
      <c r="G273" s="240">
        <f t="shared" si="14"/>
        <v>0</v>
      </c>
      <c r="H273" s="241">
        <v>0.0075</v>
      </c>
      <c r="I273" s="241">
        <f t="shared" si="15"/>
        <v>0.40049999999999997</v>
      </c>
      <c r="J273" s="241">
        <v>0</v>
      </c>
      <c r="K273" s="241">
        <f t="shared" si="16"/>
        <v>0</v>
      </c>
      <c r="L273" s="241"/>
    </row>
    <row r="274" spans="1:20" s="204" customFormat="1" ht="29.25" customHeight="1">
      <c r="A274" s="196" t="s">
        <v>194</v>
      </c>
      <c r="B274" s="197" t="s">
        <v>1943</v>
      </c>
      <c r="C274" s="136" t="s">
        <v>1937</v>
      </c>
      <c r="D274" s="198" t="s">
        <v>52</v>
      </c>
      <c r="E274" s="199">
        <f>E273*0.005</f>
        <v>0.267</v>
      </c>
      <c r="F274" s="199"/>
      <c r="G274" s="240">
        <f>$E274*F274</f>
        <v>0</v>
      </c>
      <c r="H274" s="201">
        <v>0.00303</v>
      </c>
      <c r="I274" s="85">
        <f>E274*H274</f>
        <v>0.0008090100000000001</v>
      </c>
      <c r="J274" s="201">
        <v>0</v>
      </c>
      <c r="K274" s="201">
        <f>E274*J274</f>
        <v>0</v>
      </c>
      <c r="L274" s="85"/>
      <c r="M274" s="85"/>
      <c r="N274" s="202"/>
      <c r="O274" s="203"/>
      <c r="P274" s="203"/>
      <c r="Q274" s="203"/>
      <c r="R274" s="203"/>
      <c r="S274" s="203"/>
      <c r="T274" s="203"/>
    </row>
    <row r="275" spans="1:12" s="244" customFormat="1" ht="36.75" customHeight="1">
      <c r="A275" s="196" t="s">
        <v>195</v>
      </c>
      <c r="B275" s="197">
        <v>776142112</v>
      </c>
      <c r="C275" s="294" t="s">
        <v>1944</v>
      </c>
      <c r="D275" s="736" t="s">
        <v>116</v>
      </c>
      <c r="E275" s="871">
        <v>8.08</v>
      </c>
      <c r="F275" s="822"/>
      <c r="G275" s="240">
        <f t="shared" si="14"/>
        <v>0</v>
      </c>
      <c r="H275" s="241">
        <v>0.00225</v>
      </c>
      <c r="I275" s="241">
        <f t="shared" si="15"/>
        <v>0.018179999999999998</v>
      </c>
      <c r="J275" s="241">
        <v>0</v>
      </c>
      <c r="K275" s="241">
        <f t="shared" si="16"/>
        <v>0</v>
      </c>
      <c r="L275" s="241"/>
    </row>
    <row r="276" spans="1:12" s="244" customFormat="1" ht="19.5" customHeight="1">
      <c r="A276" s="196" t="s">
        <v>289</v>
      </c>
      <c r="B276" s="778">
        <v>776421211</v>
      </c>
      <c r="C276" s="735" t="s">
        <v>1945</v>
      </c>
      <c r="D276" s="736" t="s">
        <v>116</v>
      </c>
      <c r="E276" s="871">
        <f>E275</f>
        <v>8.08</v>
      </c>
      <c r="F276" s="822"/>
      <c r="G276" s="240">
        <f t="shared" si="14"/>
        <v>0</v>
      </c>
      <c r="H276" s="241">
        <v>0</v>
      </c>
      <c r="I276" s="241">
        <f t="shared" si="15"/>
        <v>0</v>
      </c>
      <c r="J276" s="241">
        <v>0</v>
      </c>
      <c r="K276" s="241">
        <f t="shared" si="16"/>
        <v>0</v>
      </c>
      <c r="L276" s="241"/>
    </row>
    <row r="277" spans="1:12" s="244" customFormat="1" ht="19.5" customHeight="1">
      <c r="A277" s="196" t="s">
        <v>290</v>
      </c>
      <c r="B277" s="778" t="s">
        <v>1947</v>
      </c>
      <c r="C277" s="735" t="s">
        <v>1946</v>
      </c>
      <c r="D277" s="736" t="s">
        <v>116</v>
      </c>
      <c r="E277" s="871">
        <v>9</v>
      </c>
      <c r="F277" s="822"/>
      <c r="G277" s="240">
        <f t="shared" si="14"/>
        <v>0</v>
      </c>
      <c r="H277" s="241">
        <v>0.0001</v>
      </c>
      <c r="I277" s="241">
        <f t="shared" si="15"/>
        <v>0.0009000000000000001</v>
      </c>
      <c r="J277" s="241">
        <v>0</v>
      </c>
      <c r="K277" s="241">
        <f t="shared" si="16"/>
        <v>0</v>
      </c>
      <c r="L277" s="241"/>
    </row>
    <row r="278" spans="1:20" s="204" customFormat="1" ht="20.25" customHeight="1">
      <c r="A278" s="196" t="s">
        <v>336</v>
      </c>
      <c r="B278" s="197" t="s">
        <v>1939</v>
      </c>
      <c r="C278" s="136" t="s">
        <v>1940</v>
      </c>
      <c r="D278" s="198" t="s">
        <v>46</v>
      </c>
      <c r="E278" s="199">
        <f>E273</f>
        <v>53.4</v>
      </c>
      <c r="F278" s="199"/>
      <c r="G278" s="200">
        <f>E278*F278</f>
        <v>0</v>
      </c>
      <c r="H278" s="201">
        <v>0.0005</v>
      </c>
      <c r="I278" s="85">
        <f t="shared" si="15"/>
        <v>0.0267</v>
      </c>
      <c r="J278" s="201">
        <v>0</v>
      </c>
      <c r="K278" s="201">
        <f t="shared" si="16"/>
        <v>0</v>
      </c>
      <c r="L278" s="85"/>
      <c r="M278" s="85"/>
      <c r="N278" s="202"/>
      <c r="O278" s="203"/>
      <c r="P278" s="203"/>
      <c r="Q278" s="203"/>
      <c r="R278" s="203"/>
      <c r="S278" s="203"/>
      <c r="T278" s="203"/>
    </row>
    <row r="279" spans="1:20" s="204" customFormat="1" ht="30.75" customHeight="1">
      <c r="A279" s="196" t="s">
        <v>337</v>
      </c>
      <c r="B279" s="197" t="s">
        <v>1941</v>
      </c>
      <c r="C279" s="136" t="s">
        <v>1942</v>
      </c>
      <c r="D279" s="198" t="s">
        <v>46</v>
      </c>
      <c r="E279" s="199">
        <v>57.7</v>
      </c>
      <c r="F279" s="199"/>
      <c r="G279" s="200">
        <f>E279*F279</f>
        <v>0</v>
      </c>
      <c r="H279" s="85">
        <v>0.0017</v>
      </c>
      <c r="I279" s="85">
        <f t="shared" si="15"/>
        <v>0.09809</v>
      </c>
      <c r="J279" s="201">
        <v>0</v>
      </c>
      <c r="K279" s="201">
        <f t="shared" si="16"/>
        <v>0</v>
      </c>
      <c r="L279" s="85"/>
      <c r="M279" s="85"/>
      <c r="N279" s="202"/>
      <c r="O279" s="203"/>
      <c r="P279" s="203"/>
      <c r="Q279" s="203"/>
      <c r="R279" s="203"/>
      <c r="S279" s="203"/>
      <c r="T279" s="203"/>
    </row>
    <row r="280" spans="1:20" s="204" customFormat="1" ht="20.25" customHeight="1">
      <c r="A280" s="196" t="s">
        <v>343</v>
      </c>
      <c r="B280" s="945">
        <v>776421111</v>
      </c>
      <c r="C280" s="948" t="s">
        <v>2434</v>
      </c>
      <c r="D280" s="946" t="s">
        <v>116</v>
      </c>
      <c r="E280" s="947">
        <v>31.5</v>
      </c>
      <c r="F280" s="947"/>
      <c r="G280" s="200">
        <f>E280*F280</f>
        <v>0</v>
      </c>
      <c r="H280" s="201">
        <v>0</v>
      </c>
      <c r="I280" s="85">
        <f aca="true" t="shared" si="17" ref="I280:I281">E280*H280</f>
        <v>0</v>
      </c>
      <c r="J280" s="201"/>
      <c r="K280" s="201"/>
      <c r="L280" s="85"/>
      <c r="M280" s="85"/>
      <c r="N280" s="202"/>
      <c r="O280" s="203"/>
      <c r="P280" s="203"/>
      <c r="Q280" s="203"/>
      <c r="R280" s="203"/>
      <c r="S280" s="203"/>
      <c r="T280" s="203"/>
    </row>
    <row r="281" spans="1:20" s="204" customFormat="1" ht="20.25" customHeight="1">
      <c r="A281" s="196" t="s">
        <v>541</v>
      </c>
      <c r="B281" s="945">
        <v>69751204</v>
      </c>
      <c r="C281" s="948" t="s">
        <v>2435</v>
      </c>
      <c r="D281" s="946" t="s">
        <v>116</v>
      </c>
      <c r="E281" s="947">
        <f>E280*1.02+0.07</f>
        <v>32.2</v>
      </c>
      <c r="F281" s="947"/>
      <c r="G281" s="200">
        <f>E281*F281</f>
        <v>0</v>
      </c>
      <c r="H281" s="201">
        <v>0.0003</v>
      </c>
      <c r="I281" s="85">
        <f t="shared" si="17"/>
        <v>0.00966</v>
      </c>
      <c r="J281" s="201"/>
      <c r="K281" s="201"/>
      <c r="L281" s="85"/>
      <c r="M281" s="85"/>
      <c r="N281" s="202"/>
      <c r="O281" s="203"/>
      <c r="P281" s="203"/>
      <c r="Q281" s="203"/>
      <c r="R281" s="203"/>
      <c r="S281" s="203"/>
      <c r="T281" s="203"/>
    </row>
    <row r="282" spans="1:20" s="204" customFormat="1" ht="11.25" customHeight="1">
      <c r="A282" s="750"/>
      <c r="B282" s="945"/>
      <c r="C282" s="948"/>
      <c r="D282" s="946"/>
      <c r="E282" s="947"/>
      <c r="F282" s="947"/>
      <c r="G282" s="781"/>
      <c r="H282" s="201"/>
      <c r="I282" s="85"/>
      <c r="J282" s="201"/>
      <c r="K282" s="201"/>
      <c r="L282" s="85"/>
      <c r="M282" s="85"/>
      <c r="N282" s="202"/>
      <c r="O282" s="203"/>
      <c r="P282" s="203"/>
      <c r="Q282" s="203"/>
      <c r="R282" s="203"/>
      <c r="S282" s="203"/>
      <c r="T282" s="203"/>
    </row>
    <row r="283" spans="1:12" s="244" customFormat="1" ht="25.5" customHeight="1">
      <c r="A283" s="196" t="s">
        <v>542</v>
      </c>
      <c r="B283" s="237" t="s">
        <v>1636</v>
      </c>
      <c r="C283" s="294" t="s">
        <v>1637</v>
      </c>
      <c r="D283" s="295" t="s">
        <v>73</v>
      </c>
      <c r="E283" s="297">
        <f>I283</f>
        <v>0.5558590099999999</v>
      </c>
      <c r="F283" s="296"/>
      <c r="G283" s="240">
        <f>$E283*F283</f>
        <v>0</v>
      </c>
      <c r="H283" s="241"/>
      <c r="I283" s="879">
        <f>SUM(I272:I279)</f>
        <v>0.5558590099999999</v>
      </c>
      <c r="J283" s="241"/>
      <c r="K283" s="241"/>
      <c r="L283" s="241"/>
    </row>
    <row r="284" spans="1:7" ht="14" thickBot="1">
      <c r="A284" s="218"/>
      <c r="B284" s="412"/>
      <c r="C284" s="220"/>
      <c r="D284" s="221"/>
      <c r="E284" s="413"/>
      <c r="F284" s="414"/>
      <c r="G284" s="415"/>
    </row>
    <row r="285" spans="1:7" ht="17.25" customHeight="1" thickBot="1">
      <c r="A285" s="225"/>
      <c r="B285" s="226"/>
      <c r="C285" s="227" t="s">
        <v>113</v>
      </c>
      <c r="D285" s="226"/>
      <c r="E285" s="416"/>
      <c r="F285" s="417"/>
      <c r="G285" s="230">
        <f>SUBTOTAL(9,G268:G284)</f>
        <v>0</v>
      </c>
    </row>
    <row r="286" spans="1:7" ht="13" thickBot="1">
      <c r="A286" s="179"/>
      <c r="B286" s="180"/>
      <c r="C286" s="180"/>
      <c r="D286" s="180"/>
      <c r="E286" s="180"/>
      <c r="F286" s="180"/>
      <c r="G286" s="396"/>
    </row>
    <row r="287" spans="1:7" ht="13" thickBot="1">
      <c r="A287" s="182" t="s">
        <v>197</v>
      </c>
      <c r="B287" s="183" t="s">
        <v>207</v>
      </c>
      <c r="C287" s="184" t="s">
        <v>281</v>
      </c>
      <c r="D287" s="397"/>
      <c r="E287" s="398"/>
      <c r="F287" s="187"/>
      <c r="G287" s="399"/>
    </row>
    <row r="288" spans="1:7" ht="12.75">
      <c r="A288" s="189"/>
      <c r="B288" s="400"/>
      <c r="C288" s="232"/>
      <c r="D288" s="233"/>
      <c r="E288" s="401"/>
      <c r="F288" s="402"/>
      <c r="G288" s="403"/>
    </row>
    <row r="289" spans="1:12" s="611" customFormat="1" ht="20.25" customHeight="1">
      <c r="A289" s="252"/>
      <c r="B289" s="253" t="s">
        <v>207</v>
      </c>
      <c r="C289" s="254" t="s">
        <v>1142</v>
      </c>
      <c r="D289" s="255"/>
      <c r="E289" s="607"/>
      <c r="F289" s="608"/>
      <c r="G289" s="609"/>
      <c r="H289" s="610"/>
      <c r="I289" s="610"/>
      <c r="J289" s="610"/>
      <c r="K289" s="610"/>
      <c r="L289" s="610"/>
    </row>
    <row r="290" spans="1:20" s="204" customFormat="1" ht="29.25" customHeight="1">
      <c r="A290" s="196" t="s">
        <v>198</v>
      </c>
      <c r="B290" s="197" t="s">
        <v>212</v>
      </c>
      <c r="C290" s="136" t="s">
        <v>213</v>
      </c>
      <c r="D290" s="198" t="s">
        <v>46</v>
      </c>
      <c r="E290" s="199">
        <f>SUM(D291)</f>
        <v>396.9</v>
      </c>
      <c r="F290" s="199"/>
      <c r="G290" s="200">
        <f>E290*F290</f>
        <v>0</v>
      </c>
      <c r="H290" s="201">
        <v>0</v>
      </c>
      <c r="I290" s="201">
        <f>E290*H290</f>
        <v>0</v>
      </c>
      <c r="J290" s="85">
        <v>0</v>
      </c>
      <c r="K290" s="85">
        <f>E290*J290</f>
        <v>0</v>
      </c>
      <c r="L290" s="85"/>
      <c r="M290" s="85"/>
      <c r="N290" s="202"/>
      <c r="O290" s="203"/>
      <c r="P290" s="203"/>
      <c r="Q290" s="203"/>
      <c r="R290" s="203"/>
      <c r="S290" s="203"/>
      <c r="T290" s="203"/>
    </row>
    <row r="291" spans="1:20" s="596" customFormat="1" ht="19.5" customHeight="1">
      <c r="A291" s="683"/>
      <c r="B291" s="681"/>
      <c r="C291" s="678" t="s">
        <v>1994</v>
      </c>
      <c r="D291" s="685">
        <f>334.7+53.4+8.8</f>
        <v>396.9</v>
      </c>
      <c r="E291" s="679"/>
      <c r="F291" s="679"/>
      <c r="G291" s="680"/>
      <c r="H291" s="592"/>
      <c r="I291" s="592"/>
      <c r="J291" s="593"/>
      <c r="K291" s="593"/>
      <c r="L291" s="593"/>
      <c r="M291" s="593"/>
      <c r="N291" s="594"/>
      <c r="O291" s="595"/>
      <c r="P291" s="595"/>
      <c r="Q291" s="595"/>
      <c r="R291" s="595"/>
      <c r="S291" s="595"/>
      <c r="T291" s="595"/>
    </row>
    <row r="292" spans="1:20" s="204" customFormat="1" ht="29.25" customHeight="1">
      <c r="A292" s="196" t="s">
        <v>199</v>
      </c>
      <c r="B292" s="197" t="s">
        <v>215</v>
      </c>
      <c r="C292" s="136" t="s">
        <v>216</v>
      </c>
      <c r="D292" s="198" t="s">
        <v>46</v>
      </c>
      <c r="E292" s="199">
        <f>SUM(D293:D294)</f>
        <v>263.8</v>
      </c>
      <c r="F292" s="199"/>
      <c r="G292" s="200">
        <f>E292*F292</f>
        <v>0</v>
      </c>
      <c r="H292" s="201">
        <v>0</v>
      </c>
      <c r="I292" s="201">
        <f>E292*H292</f>
        <v>0</v>
      </c>
      <c r="J292" s="85">
        <v>0</v>
      </c>
      <c r="K292" s="85">
        <f>E292*J292</f>
        <v>0</v>
      </c>
      <c r="L292" s="85"/>
      <c r="M292" s="85"/>
      <c r="N292" s="202"/>
      <c r="O292" s="203"/>
      <c r="P292" s="203"/>
      <c r="Q292" s="203"/>
      <c r="R292" s="203"/>
      <c r="S292" s="203"/>
      <c r="T292" s="203"/>
    </row>
    <row r="293" spans="1:14" s="595" customFormat="1" ht="23.25" customHeight="1">
      <c r="A293" s="683"/>
      <c r="B293" s="686"/>
      <c r="C293" s="687" t="s">
        <v>1995</v>
      </c>
      <c r="D293" s="685">
        <f>1.06*1.75*8+1.6*2*2+1.88*2+0.8*1.97*5</f>
        <v>32.88</v>
      </c>
      <c r="E293" s="688"/>
      <c r="F293" s="688"/>
      <c r="G293" s="689"/>
      <c r="H293" s="593"/>
      <c r="I293" s="593"/>
      <c r="J293" s="593"/>
      <c r="K293" s="593"/>
      <c r="L293" s="593"/>
      <c r="M293" s="593"/>
      <c r="N293" s="594"/>
    </row>
    <row r="294" spans="1:14" s="595" customFormat="1" ht="23.25" customHeight="1">
      <c r="A294" s="683"/>
      <c r="B294" s="686"/>
      <c r="C294" s="687" t="s">
        <v>1996</v>
      </c>
      <c r="D294" s="759">
        <f>160+64.8+0.8*0.85*9</f>
        <v>230.92000000000002</v>
      </c>
      <c r="E294" s="846"/>
      <c r="F294" s="846"/>
      <c r="G294" s="689"/>
      <c r="H294" s="593"/>
      <c r="I294" s="593"/>
      <c r="J294" s="593"/>
      <c r="K294" s="593"/>
      <c r="L294" s="593"/>
      <c r="M294" s="593"/>
      <c r="N294" s="594"/>
    </row>
    <row r="295" spans="1:20" s="204" customFormat="1" ht="29.25" customHeight="1">
      <c r="A295" s="196" t="s">
        <v>201</v>
      </c>
      <c r="B295" s="197">
        <v>784171115</v>
      </c>
      <c r="C295" s="136" t="s">
        <v>1997</v>
      </c>
      <c r="D295" s="198" t="s">
        <v>46</v>
      </c>
      <c r="E295" s="199">
        <f>SUM(D296)</f>
        <v>49.5</v>
      </c>
      <c r="F295" s="199"/>
      <c r="G295" s="200">
        <f>E295*F295</f>
        <v>0</v>
      </c>
      <c r="H295" s="201">
        <v>0</v>
      </c>
      <c r="I295" s="201">
        <f>E295*H295</f>
        <v>0</v>
      </c>
      <c r="J295" s="85">
        <v>0</v>
      </c>
      <c r="K295" s="85">
        <f>E295*J295</f>
        <v>0</v>
      </c>
      <c r="L295" s="85"/>
      <c r="M295" s="85"/>
      <c r="N295" s="202"/>
      <c r="O295" s="203"/>
      <c r="P295" s="203"/>
      <c r="Q295" s="203"/>
      <c r="R295" s="203"/>
      <c r="S295" s="203"/>
      <c r="T295" s="203"/>
    </row>
    <row r="296" spans="1:14" s="595" customFormat="1" ht="23.25" customHeight="1">
      <c r="A296" s="683"/>
      <c r="B296" s="686"/>
      <c r="C296" s="687" t="s">
        <v>1998</v>
      </c>
      <c r="D296" s="759">
        <f>9.9*3.9+0.7*1.55*10+0.04</f>
        <v>49.5</v>
      </c>
      <c r="E296" s="846"/>
      <c r="F296" s="846"/>
      <c r="G296" s="689"/>
      <c r="H296" s="593"/>
      <c r="I296" s="593"/>
      <c r="J296" s="593"/>
      <c r="K296" s="593"/>
      <c r="L296" s="593"/>
      <c r="M296" s="593"/>
      <c r="N296" s="594"/>
    </row>
    <row r="297" spans="1:20" s="204" customFormat="1" ht="23.25" customHeight="1">
      <c r="A297" s="196" t="s">
        <v>202</v>
      </c>
      <c r="B297" s="197" t="s">
        <v>218</v>
      </c>
      <c r="C297" s="136" t="s">
        <v>219</v>
      </c>
      <c r="D297" s="198" t="s">
        <v>46</v>
      </c>
      <c r="E297" s="199">
        <f>1.05*(E290+E292+E295)-0.01</f>
        <v>745.7</v>
      </c>
      <c r="F297" s="199"/>
      <c r="G297" s="200">
        <f>E297*F297</f>
        <v>0</v>
      </c>
      <c r="H297" s="201">
        <v>0</v>
      </c>
      <c r="I297" s="201">
        <f>E297*H297</f>
        <v>0</v>
      </c>
      <c r="J297" s="85"/>
      <c r="K297" s="85">
        <f>E297*J297</f>
        <v>0</v>
      </c>
      <c r="L297" s="85"/>
      <c r="M297" s="85"/>
      <c r="N297" s="202"/>
      <c r="O297" s="203"/>
      <c r="P297" s="203"/>
      <c r="Q297" s="203"/>
      <c r="R297" s="203"/>
      <c r="S297" s="203"/>
      <c r="T297" s="203"/>
    </row>
    <row r="298" spans="1:12" s="277" customFormat="1" ht="20.25" customHeight="1">
      <c r="A298" s="196" t="s">
        <v>203</v>
      </c>
      <c r="B298" s="618" t="s">
        <v>1986</v>
      </c>
      <c r="C298" s="270" t="s">
        <v>1992</v>
      </c>
      <c r="D298" s="269" t="s">
        <v>46</v>
      </c>
      <c r="E298" s="619">
        <v>434.7</v>
      </c>
      <c r="F298" s="619"/>
      <c r="G298" s="200">
        <f>E298*F298</f>
        <v>0</v>
      </c>
      <c r="H298" s="428"/>
      <c r="I298" s="428"/>
      <c r="J298" s="428"/>
      <c r="K298" s="428"/>
      <c r="L298" s="428"/>
    </row>
    <row r="299" spans="1:12" s="277" customFormat="1" ht="20.25" customHeight="1">
      <c r="A299" s="196" t="s">
        <v>204</v>
      </c>
      <c r="B299" s="618" t="s">
        <v>1987</v>
      </c>
      <c r="C299" s="270" t="s">
        <v>1988</v>
      </c>
      <c r="D299" s="269" t="s">
        <v>46</v>
      </c>
      <c r="E299" s="619">
        <f>E298</f>
        <v>434.7</v>
      </c>
      <c r="F299" s="619"/>
      <c r="G299" s="200">
        <f>E299*F299</f>
        <v>0</v>
      </c>
      <c r="H299" s="428"/>
      <c r="I299" s="428"/>
      <c r="J299" s="428"/>
      <c r="K299" s="428"/>
      <c r="L299" s="428"/>
    </row>
    <row r="300" spans="1:20" s="204" customFormat="1" ht="21" customHeight="1">
      <c r="A300" s="196" t="s">
        <v>205</v>
      </c>
      <c r="B300" s="197">
        <v>784181005</v>
      </c>
      <c r="C300" s="136" t="s">
        <v>1989</v>
      </c>
      <c r="D300" s="198" t="s">
        <v>46</v>
      </c>
      <c r="E300" s="669">
        <f>SUM(D301)</f>
        <v>442</v>
      </c>
      <c r="F300" s="199"/>
      <c r="G300" s="200">
        <f>E300*F300</f>
        <v>0</v>
      </c>
      <c r="H300" s="201">
        <v>0.00021</v>
      </c>
      <c r="I300" s="201">
        <f>E300*H300</f>
        <v>0.09282</v>
      </c>
      <c r="J300" s="85">
        <v>0</v>
      </c>
      <c r="K300" s="85">
        <f>E300*J300</f>
        <v>0</v>
      </c>
      <c r="L300" s="85"/>
      <c r="M300" s="85"/>
      <c r="N300" s="202"/>
      <c r="O300" s="203"/>
      <c r="P300" s="203"/>
      <c r="Q300" s="203"/>
      <c r="R300" s="203"/>
      <c r="S300" s="203"/>
      <c r="T300" s="203"/>
    </row>
    <row r="301" spans="1:20" s="596" customFormat="1" ht="19.5" customHeight="1">
      <c r="A301" s="683"/>
      <c r="B301" s="681"/>
      <c r="C301" s="678" t="s">
        <v>1999</v>
      </c>
      <c r="D301" s="685">
        <f>434.7+7.3</f>
        <v>442</v>
      </c>
      <c r="E301" s="679"/>
      <c r="F301" s="679"/>
      <c r="G301" s="680"/>
      <c r="H301" s="592"/>
      <c r="I301" s="592"/>
      <c r="J301" s="593"/>
      <c r="K301" s="593"/>
      <c r="L301" s="593"/>
      <c r="M301" s="593"/>
      <c r="N301" s="594"/>
      <c r="O301" s="595"/>
      <c r="P301" s="595"/>
      <c r="Q301" s="595"/>
      <c r="R301" s="595"/>
      <c r="S301" s="595"/>
      <c r="T301" s="595"/>
    </row>
    <row r="302" spans="1:20" s="204" customFormat="1" ht="25.5" customHeight="1">
      <c r="A302" s="196" t="s">
        <v>208</v>
      </c>
      <c r="B302" s="197">
        <v>784181112</v>
      </c>
      <c r="C302" s="306" t="s">
        <v>1990</v>
      </c>
      <c r="D302" s="198" t="s">
        <v>46</v>
      </c>
      <c r="E302" s="199">
        <f>SUM(D303)</f>
        <v>151</v>
      </c>
      <c r="F302" s="199"/>
      <c r="G302" s="200">
        <f>E302*F302</f>
        <v>0</v>
      </c>
      <c r="H302" s="201">
        <v>0.00025</v>
      </c>
      <c r="I302" s="201">
        <f>E302*H302</f>
        <v>0.03775</v>
      </c>
      <c r="J302" s="85">
        <v>0</v>
      </c>
      <c r="K302" s="85">
        <f>E302*J302</f>
        <v>0</v>
      </c>
      <c r="L302" s="85"/>
      <c r="M302" s="85"/>
      <c r="N302" s="202"/>
      <c r="O302" s="203"/>
      <c r="P302" s="203"/>
      <c r="Q302" s="203"/>
      <c r="R302" s="203"/>
      <c r="S302" s="203"/>
      <c r="T302" s="203"/>
    </row>
    <row r="303" spans="1:20" s="596" customFormat="1" ht="19.5" customHeight="1">
      <c r="A303" s="683"/>
      <c r="B303" s="681"/>
      <c r="C303" s="678" t="s">
        <v>2000</v>
      </c>
      <c r="D303" s="685">
        <f>71.1+72.2+7.7</f>
        <v>151</v>
      </c>
      <c r="E303" s="679"/>
      <c r="F303" s="679"/>
      <c r="G303" s="680"/>
      <c r="H303" s="592"/>
      <c r="I303" s="592"/>
      <c r="J303" s="593"/>
      <c r="K303" s="593"/>
      <c r="L303" s="593"/>
      <c r="M303" s="593"/>
      <c r="N303" s="594"/>
      <c r="O303" s="595"/>
      <c r="P303" s="595"/>
      <c r="Q303" s="595"/>
      <c r="R303" s="595"/>
      <c r="S303" s="595"/>
      <c r="T303" s="595"/>
    </row>
    <row r="304" spans="1:20" s="204" customFormat="1" ht="25.5" customHeight="1">
      <c r="A304" s="196" t="s">
        <v>209</v>
      </c>
      <c r="B304" s="197">
        <v>784181116</v>
      </c>
      <c r="C304" s="306" t="s">
        <v>1991</v>
      </c>
      <c r="D304" s="198" t="s">
        <v>46</v>
      </c>
      <c r="E304" s="199">
        <f>SUM(D305)</f>
        <v>690</v>
      </c>
      <c r="F304" s="199"/>
      <c r="G304" s="200">
        <f>E304*F304</f>
        <v>0</v>
      </c>
      <c r="H304" s="201">
        <v>0.00025</v>
      </c>
      <c r="I304" s="201">
        <f>E304*H304</f>
        <v>0.17250000000000001</v>
      </c>
      <c r="J304" s="85">
        <v>0</v>
      </c>
      <c r="K304" s="85">
        <f>E304*J304</f>
        <v>0</v>
      </c>
      <c r="L304" s="85"/>
      <c r="M304" s="85"/>
      <c r="N304" s="202"/>
      <c r="O304" s="203"/>
      <c r="P304" s="203"/>
      <c r="Q304" s="203"/>
      <c r="R304" s="203"/>
      <c r="S304" s="203"/>
      <c r="T304" s="203"/>
    </row>
    <row r="305" spans="1:20" s="596" customFormat="1" ht="19.5" customHeight="1">
      <c r="A305" s="683"/>
      <c r="B305" s="681"/>
      <c r="C305" s="678" t="s">
        <v>2001</v>
      </c>
      <c r="D305" s="685">
        <f>194.04+53.4+442+0.56</f>
        <v>690</v>
      </c>
      <c r="E305" s="679"/>
      <c r="F305" s="679"/>
      <c r="G305" s="680"/>
      <c r="H305" s="592"/>
      <c r="I305" s="592"/>
      <c r="J305" s="593"/>
      <c r="K305" s="593"/>
      <c r="L305" s="593"/>
      <c r="M305" s="593"/>
      <c r="N305" s="594"/>
      <c r="O305" s="595"/>
      <c r="P305" s="595"/>
      <c r="Q305" s="595"/>
      <c r="R305" s="595"/>
      <c r="S305" s="595"/>
      <c r="T305" s="595"/>
    </row>
    <row r="306" spans="1:20" s="244" customFormat="1" ht="30.75" customHeight="1">
      <c r="A306" s="196" t="s">
        <v>210</v>
      </c>
      <c r="B306" s="305" t="s">
        <v>1150</v>
      </c>
      <c r="C306" s="306" t="s">
        <v>1151</v>
      </c>
      <c r="D306" s="305" t="s">
        <v>46</v>
      </c>
      <c r="E306" s="439">
        <f>E302</f>
        <v>151</v>
      </c>
      <c r="F306" s="439"/>
      <c r="G306" s="240">
        <f>$E306*F306</f>
        <v>0</v>
      </c>
      <c r="H306" s="241">
        <v>0.00026</v>
      </c>
      <c r="I306" s="201">
        <f>E306*H306</f>
        <v>0.039259999999999996</v>
      </c>
      <c r="J306" s="85">
        <v>0</v>
      </c>
      <c r="K306" s="85">
        <f>E306*J306</f>
        <v>0</v>
      </c>
      <c r="L306" s="241"/>
      <c r="O306" s="794"/>
      <c r="P306" s="806"/>
      <c r="Q306" s="806"/>
      <c r="R306" s="807"/>
      <c r="S306" s="213"/>
      <c r="T306" s="213"/>
    </row>
    <row r="307" spans="1:20" s="244" customFormat="1" ht="30.75" customHeight="1">
      <c r="A307" s="196" t="s">
        <v>211</v>
      </c>
      <c r="B307" s="305" t="s">
        <v>1150</v>
      </c>
      <c r="C307" s="306" t="s">
        <v>1993</v>
      </c>
      <c r="D307" s="305" t="s">
        <v>46</v>
      </c>
      <c r="E307" s="439">
        <f>E304</f>
        <v>690</v>
      </c>
      <c r="F307" s="439"/>
      <c r="G307" s="240">
        <f>$E307*F307</f>
        <v>0</v>
      </c>
      <c r="H307" s="241">
        <v>0.00026</v>
      </c>
      <c r="I307" s="201">
        <f>E307*H307</f>
        <v>0.17939999999999998</v>
      </c>
      <c r="J307" s="85">
        <v>0</v>
      </c>
      <c r="K307" s="85">
        <f>E307*J307</f>
        <v>0</v>
      </c>
      <c r="L307" s="241"/>
      <c r="O307" s="794"/>
      <c r="P307" s="806"/>
      <c r="Q307" s="806"/>
      <c r="R307" s="807"/>
      <c r="S307" s="213"/>
      <c r="T307" s="213"/>
    </row>
    <row r="308" spans="1:7" ht="14" thickBot="1">
      <c r="A308" s="218"/>
      <c r="B308" s="412"/>
      <c r="C308" s="220"/>
      <c r="D308" s="221"/>
      <c r="E308" s="413"/>
      <c r="F308" s="414"/>
      <c r="G308" s="415"/>
    </row>
    <row r="309" spans="1:7" ht="17.25" customHeight="1" thickBot="1">
      <c r="A309" s="225"/>
      <c r="B309" s="226"/>
      <c r="C309" s="227" t="s">
        <v>113</v>
      </c>
      <c r="D309" s="226"/>
      <c r="E309" s="416"/>
      <c r="F309" s="417"/>
      <c r="G309" s="230">
        <f>SUBTOTAL(9,G288:G308)</f>
        <v>0</v>
      </c>
    </row>
    <row r="310" spans="1:7" ht="13" thickBot="1">
      <c r="A310" s="179"/>
      <c r="B310" s="180"/>
      <c r="C310" s="180"/>
      <c r="D310" s="180"/>
      <c r="E310" s="180"/>
      <c r="F310" s="180"/>
      <c r="G310" s="396"/>
    </row>
    <row r="311" spans="1:7" ht="18.75" customHeight="1" thickBot="1">
      <c r="A311" s="182" t="s">
        <v>228</v>
      </c>
      <c r="B311" s="183">
        <v>9</v>
      </c>
      <c r="C311" s="184" t="s">
        <v>229</v>
      </c>
      <c r="D311" s="397"/>
      <c r="E311" s="398"/>
      <c r="F311" s="187"/>
      <c r="G311" s="399"/>
    </row>
    <row r="312" spans="1:7" ht="12.75">
      <c r="A312" s="189"/>
      <c r="B312" s="400"/>
      <c r="C312" s="232"/>
      <c r="D312" s="233"/>
      <c r="E312" s="401"/>
      <c r="F312" s="402"/>
      <c r="G312" s="403"/>
    </row>
    <row r="313" spans="1:20" s="244" customFormat="1" ht="22">
      <c r="A313" s="196" t="s">
        <v>230</v>
      </c>
      <c r="B313" s="305">
        <v>763121411</v>
      </c>
      <c r="C313" s="306" t="s">
        <v>231</v>
      </c>
      <c r="D313" s="295" t="s">
        <v>46</v>
      </c>
      <c r="E313" s="404">
        <f>SUM(D314)</f>
        <v>4</v>
      </c>
      <c r="F313" s="404"/>
      <c r="G313" s="200">
        <f>E313*F313</f>
        <v>0</v>
      </c>
      <c r="H313" s="243">
        <v>0</v>
      </c>
      <c r="I313" s="243">
        <f>E313*H313</f>
        <v>0</v>
      </c>
      <c r="J313" s="242">
        <v>0.011820000000000002</v>
      </c>
      <c r="K313" s="242">
        <f>E313*J313</f>
        <v>0.04728000000000001</v>
      </c>
      <c r="L313" s="243"/>
      <c r="M313" s="243"/>
      <c r="N313" s="405"/>
      <c r="O313" s="406"/>
      <c r="P313" s="406"/>
      <c r="Q313" s="406"/>
      <c r="R313" s="406"/>
      <c r="S313" s="406"/>
      <c r="T313" s="406"/>
    </row>
    <row r="314" spans="1:12" s="251" customFormat="1" ht="17.25" customHeight="1">
      <c r="A314" s="196"/>
      <c r="B314" s="205"/>
      <c r="C314" s="245" t="s">
        <v>2004</v>
      </c>
      <c r="D314" s="246">
        <f>2*2</f>
        <v>4</v>
      </c>
      <c r="E314" s="247"/>
      <c r="F314" s="247"/>
      <c r="G314" s="248"/>
      <c r="H314" s="250"/>
      <c r="I314" s="250"/>
      <c r="J314" s="249"/>
      <c r="K314" s="250"/>
      <c r="L314" s="250"/>
    </row>
    <row r="315" spans="1:20" s="244" customFormat="1" ht="22.5" customHeight="1">
      <c r="A315" s="196" t="s">
        <v>232</v>
      </c>
      <c r="B315" s="305">
        <v>763121811</v>
      </c>
      <c r="C315" s="306" t="s">
        <v>233</v>
      </c>
      <c r="D315" s="305" t="s">
        <v>46</v>
      </c>
      <c r="E315" s="404">
        <f>E313</f>
        <v>4</v>
      </c>
      <c r="F315" s="404"/>
      <c r="G315" s="200">
        <f>E315*F315</f>
        <v>0</v>
      </c>
      <c r="H315" s="243">
        <v>0.01725</v>
      </c>
      <c r="I315" s="243">
        <f>E315*H315</f>
        <v>0.069</v>
      </c>
      <c r="J315" s="243">
        <v>0</v>
      </c>
      <c r="K315" s="242">
        <f>E315*J315</f>
        <v>0</v>
      </c>
      <c r="L315" s="243"/>
      <c r="M315" s="243"/>
      <c r="N315" s="405"/>
      <c r="O315" s="406"/>
      <c r="P315" s="406"/>
      <c r="Q315" s="406"/>
      <c r="R315" s="406"/>
      <c r="S315" s="406"/>
      <c r="T315" s="406"/>
    </row>
    <row r="316" spans="1:20" s="244" customFormat="1" ht="29.25" customHeight="1">
      <c r="A316" s="196" t="s">
        <v>234</v>
      </c>
      <c r="B316" s="197" t="s">
        <v>235</v>
      </c>
      <c r="C316" s="294" t="s">
        <v>236</v>
      </c>
      <c r="D316" s="295" t="s">
        <v>46</v>
      </c>
      <c r="E316" s="404">
        <f>E292+E295</f>
        <v>313.3</v>
      </c>
      <c r="F316" s="404"/>
      <c r="G316" s="200">
        <f>E316*F316</f>
        <v>0</v>
      </c>
      <c r="H316" s="243">
        <v>0</v>
      </c>
      <c r="I316" s="243">
        <f>E316*H316</f>
        <v>0</v>
      </c>
      <c r="J316" s="242">
        <v>1E-05</v>
      </c>
      <c r="K316" s="242">
        <f>E316*J316</f>
        <v>0.0031330000000000004</v>
      </c>
      <c r="L316" s="243"/>
      <c r="M316" s="243"/>
      <c r="N316" s="405"/>
      <c r="O316" s="406"/>
      <c r="P316" s="406"/>
      <c r="Q316" s="406"/>
      <c r="R316" s="406"/>
      <c r="S316" s="406"/>
      <c r="T316" s="406"/>
    </row>
    <row r="317" spans="1:20" s="244" customFormat="1" ht="29.25" customHeight="1">
      <c r="A317" s="196" t="s">
        <v>237</v>
      </c>
      <c r="B317" s="197" t="s">
        <v>238</v>
      </c>
      <c r="C317" s="294" t="s">
        <v>239</v>
      </c>
      <c r="D317" s="295" t="s">
        <v>46</v>
      </c>
      <c r="E317" s="404">
        <f>E290</f>
        <v>396.9</v>
      </c>
      <c r="F317" s="199"/>
      <c r="G317" s="200">
        <f>E317*F317</f>
        <v>0</v>
      </c>
      <c r="H317" s="243">
        <v>0</v>
      </c>
      <c r="I317" s="243">
        <f>E317*H317</f>
        <v>0</v>
      </c>
      <c r="J317" s="242">
        <v>1E-05</v>
      </c>
      <c r="K317" s="242">
        <f>E317*J317</f>
        <v>0.003969</v>
      </c>
      <c r="L317" s="243"/>
      <c r="M317" s="243"/>
      <c r="N317" s="405"/>
      <c r="O317" s="406"/>
      <c r="P317" s="406"/>
      <c r="Q317" s="406"/>
      <c r="R317" s="406"/>
      <c r="S317" s="406"/>
      <c r="T317" s="406"/>
    </row>
    <row r="318" spans="1:20" s="244" customFormat="1" ht="18.75" customHeight="1">
      <c r="A318" s="196" t="s">
        <v>240</v>
      </c>
      <c r="B318" s="305" t="s">
        <v>241</v>
      </c>
      <c r="C318" s="306" t="s">
        <v>242</v>
      </c>
      <c r="D318" s="305" t="s">
        <v>243</v>
      </c>
      <c r="E318" s="404">
        <v>125</v>
      </c>
      <c r="F318" s="199"/>
      <c r="G318" s="200">
        <f>E318*F318</f>
        <v>0</v>
      </c>
      <c r="H318" s="243"/>
      <c r="I318" s="243"/>
      <c r="J318" s="243"/>
      <c r="K318" s="242"/>
      <c r="L318" s="243"/>
      <c r="M318" s="243"/>
      <c r="N318" s="405"/>
      <c r="O318" s="406"/>
      <c r="P318" s="406"/>
      <c r="Q318" s="406"/>
      <c r="R318" s="406"/>
      <c r="S318" s="406"/>
      <c r="T318" s="406"/>
    </row>
    <row r="319" spans="1:20" s="244" customFormat="1" ht="32.25" customHeight="1">
      <c r="A319" s="196" t="s">
        <v>244</v>
      </c>
      <c r="B319" s="197">
        <v>949101111</v>
      </c>
      <c r="C319" s="167" t="s">
        <v>245</v>
      </c>
      <c r="D319" s="197" t="s">
        <v>46</v>
      </c>
      <c r="E319" s="404">
        <f>SUM(D320)</f>
        <v>151</v>
      </c>
      <c r="F319" s="404"/>
      <c r="G319" s="200">
        <f>E319*F319</f>
        <v>0</v>
      </c>
      <c r="H319" s="243"/>
      <c r="I319" s="243"/>
      <c r="J319" s="243"/>
      <c r="K319" s="242"/>
      <c r="L319" s="243"/>
      <c r="M319" s="243"/>
      <c r="N319" s="405"/>
      <c r="O319" s="406"/>
      <c r="P319" s="406"/>
      <c r="Q319" s="406"/>
      <c r="R319" s="406"/>
      <c r="S319" s="406"/>
      <c r="T319" s="406"/>
    </row>
    <row r="320" spans="1:12" s="251" customFormat="1" ht="17.25" customHeight="1">
      <c r="A320" s="196"/>
      <c r="B320" s="205"/>
      <c r="C320" s="245" t="s">
        <v>2000</v>
      </c>
      <c r="D320" s="246">
        <f>71.1+72.2+7.7</f>
        <v>151</v>
      </c>
      <c r="E320" s="247"/>
      <c r="F320" s="247"/>
      <c r="G320" s="248"/>
      <c r="H320" s="250"/>
      <c r="I320" s="250"/>
      <c r="J320" s="249"/>
      <c r="K320" s="250"/>
      <c r="L320" s="250"/>
    </row>
    <row r="321" spans="1:12" s="244" customFormat="1" ht="30" customHeight="1">
      <c r="A321" s="196" t="s">
        <v>246</v>
      </c>
      <c r="B321" s="197" t="s">
        <v>2002</v>
      </c>
      <c r="C321" s="479" t="s">
        <v>2003</v>
      </c>
      <c r="D321" s="197" t="s">
        <v>46</v>
      </c>
      <c r="E321" s="239">
        <f>SUM(D322)</f>
        <v>247.4</v>
      </c>
      <c r="F321" s="239"/>
      <c r="G321" s="240">
        <f>$E321*F321</f>
        <v>0</v>
      </c>
      <c r="H321" s="241">
        <v>0.096</v>
      </c>
      <c r="I321" s="241">
        <f>E321*H321</f>
        <v>23.750400000000003</v>
      </c>
      <c r="J321" s="241">
        <v>0.096</v>
      </c>
      <c r="K321" s="242">
        <f>E321*J321</f>
        <v>23.750400000000003</v>
      </c>
      <c r="L321" s="241"/>
    </row>
    <row r="322" spans="1:12" s="251" customFormat="1" ht="17.25" customHeight="1">
      <c r="A322" s="196"/>
      <c r="B322" s="205"/>
      <c r="C322" s="245" t="s">
        <v>2005</v>
      </c>
      <c r="D322" s="246">
        <f>194+53.4</f>
        <v>247.4</v>
      </c>
      <c r="E322" s="247"/>
      <c r="F322" s="247"/>
      <c r="G322" s="248"/>
      <c r="H322" s="250"/>
      <c r="I322" s="250"/>
      <c r="J322" s="249"/>
      <c r="K322" s="250"/>
      <c r="L322" s="250"/>
    </row>
    <row r="323" spans="1:7" ht="14" thickBot="1">
      <c r="A323" s="218"/>
      <c r="B323" s="412"/>
      <c r="C323" s="220"/>
      <c r="D323" s="221"/>
      <c r="E323" s="413"/>
      <c r="F323" s="414"/>
      <c r="G323" s="415"/>
    </row>
    <row r="324" spans="1:7" ht="18" customHeight="1" thickBot="1">
      <c r="A324" s="225"/>
      <c r="B324" s="226"/>
      <c r="C324" s="227" t="s">
        <v>113</v>
      </c>
      <c r="D324" s="226"/>
      <c r="E324" s="416"/>
      <c r="F324" s="417"/>
      <c r="G324" s="230">
        <f>SUBTOTAL(9,G312:G323)</f>
        <v>0</v>
      </c>
    </row>
    <row r="325" spans="1:7" ht="13" thickBot="1">
      <c r="A325" s="179"/>
      <c r="B325" s="180"/>
      <c r="C325" s="180"/>
      <c r="D325" s="180"/>
      <c r="E325" s="180"/>
      <c r="F325" s="180"/>
      <c r="G325" s="396"/>
    </row>
    <row r="326" spans="1:7" s="327" customFormat="1" ht="13" thickBot="1">
      <c r="A326" s="182" t="s">
        <v>291</v>
      </c>
      <c r="B326" s="183"/>
      <c r="C326" s="184" t="s">
        <v>338</v>
      </c>
      <c r="D326" s="397"/>
      <c r="E326" s="440"/>
      <c r="F326" s="441"/>
      <c r="G326" s="399"/>
    </row>
    <row r="327" spans="1:7" s="327" customFormat="1" ht="12.75">
      <c r="A327" s="189"/>
      <c r="B327" s="400"/>
      <c r="C327" s="232"/>
      <c r="D327" s="233"/>
      <c r="E327" s="401"/>
      <c r="F327" s="402"/>
      <c r="G327" s="403"/>
    </row>
    <row r="328" spans="1:12" s="449" customFormat="1" ht="44.25" customHeight="1">
      <c r="A328" s="196" t="s">
        <v>291</v>
      </c>
      <c r="B328" s="442"/>
      <c r="C328" s="443" t="s">
        <v>247</v>
      </c>
      <c r="D328" s="444"/>
      <c r="E328" s="445"/>
      <c r="F328" s="310"/>
      <c r="G328" s="446">
        <f>$E328*F328</f>
        <v>0</v>
      </c>
      <c r="H328" s="448"/>
      <c r="I328" s="448"/>
      <c r="J328" s="447"/>
      <c r="K328" s="447"/>
      <c r="L328" s="447"/>
    </row>
    <row r="329" spans="1:7" s="327" customFormat="1" ht="13" thickBot="1">
      <c r="A329" s="298"/>
      <c r="B329" s="153"/>
      <c r="C329" s="299"/>
      <c r="D329" s="153"/>
      <c r="E329" s="450"/>
      <c r="F329" s="451"/>
      <c r="G329" s="452"/>
    </row>
    <row r="330" spans="1:7" s="327" customFormat="1" ht="13" thickBot="1">
      <c r="A330" s="225"/>
      <c r="B330" s="226"/>
      <c r="C330" s="227" t="s">
        <v>113</v>
      </c>
      <c r="D330" s="226"/>
      <c r="E330" s="303"/>
      <c r="F330" s="304"/>
      <c r="G330" s="230">
        <f>SUBTOTAL(9,G327:G329)</f>
        <v>0</v>
      </c>
    </row>
    <row r="331" spans="1:7" s="327" customFormat="1" ht="13" thickBot="1">
      <c r="A331" s="179"/>
      <c r="B331" s="180"/>
      <c r="C331" s="180"/>
      <c r="D331" s="180"/>
      <c r="E331" s="180"/>
      <c r="F331" s="180"/>
      <c r="G331" s="396"/>
    </row>
    <row r="332" spans="1:7" s="327" customFormat="1" ht="27.75" customHeight="1" thickBot="1">
      <c r="A332" s="453"/>
      <c r="B332" s="316"/>
      <c r="C332" s="317" t="s">
        <v>38</v>
      </c>
      <c r="D332" s="454"/>
      <c r="E332" s="454"/>
      <c r="F332" s="454"/>
      <c r="G332" s="319">
        <f>SUBTOTAL(9,G34:G330)</f>
        <v>0</v>
      </c>
    </row>
    <row r="334" spans="1:7" s="327" customFormat="1" ht="12.75">
      <c r="A334" s="322"/>
      <c r="B334" s="323"/>
      <c r="C334" s="323"/>
      <c r="D334" s="325"/>
      <c r="E334" s="326"/>
      <c r="F334" s="326"/>
      <c r="G334" s="328"/>
    </row>
    <row r="335" spans="1:7" s="327" customFormat="1" ht="12.75">
      <c r="A335" s="322"/>
      <c r="B335" s="323"/>
      <c r="C335" s="323"/>
      <c r="D335" s="325"/>
      <c r="E335" s="326"/>
      <c r="F335" s="326"/>
      <c r="G335" s="328"/>
    </row>
    <row r="336" spans="1:7" s="327" customFormat="1" ht="12.75">
      <c r="A336" s="322"/>
      <c r="B336" s="323"/>
      <c r="C336" s="323"/>
      <c r="D336" s="325"/>
      <c r="E336" s="326"/>
      <c r="F336" s="326"/>
      <c r="G336" s="328"/>
    </row>
    <row r="337" spans="1:7" s="327" customFormat="1" ht="12.75">
      <c r="A337" s="322"/>
      <c r="B337" s="323"/>
      <c r="C337" s="323"/>
      <c r="D337" s="325"/>
      <c r="E337" s="326"/>
      <c r="F337" s="326"/>
      <c r="G337" s="328"/>
    </row>
    <row r="338" spans="1:7" s="327" customFormat="1" ht="12.75">
      <c r="A338" s="322"/>
      <c r="B338" s="323"/>
      <c r="C338" s="323"/>
      <c r="D338" s="325"/>
      <c r="E338" s="326"/>
      <c r="F338" s="326"/>
      <c r="G338" s="328"/>
    </row>
    <row r="339" spans="1:7" s="327" customFormat="1" ht="12.75">
      <c r="A339" s="322"/>
      <c r="B339" s="323"/>
      <c r="C339" s="323"/>
      <c r="D339" s="325"/>
      <c r="E339" s="326"/>
      <c r="F339" s="326"/>
      <c r="G339" s="328"/>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BJ261"/>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8" width="11.421875" style="480" customWidth="1"/>
    <col min="9" max="9" width="10.8515625" style="480" customWidth="1"/>
    <col min="10" max="10" width="10.28125" style="480" customWidth="1"/>
    <col min="11" max="11" width="10.421875" style="480" customWidth="1"/>
    <col min="12" max="12" width="8.8515625" style="480" customWidth="1"/>
    <col min="13" max="16384" width="8.8515625" style="80" customWidth="1"/>
  </cols>
  <sheetData>
    <row r="1" spans="1:8" ht="60" customHeight="1">
      <c r="A1" s="81"/>
      <c r="B1" s="82" t="s">
        <v>16</v>
      </c>
      <c r="C1" s="2" t="s">
        <v>1</v>
      </c>
      <c r="D1" s="2"/>
      <c r="E1" s="84"/>
      <c r="F1" s="1415" t="s">
        <v>2</v>
      </c>
      <c r="G1" s="1415"/>
      <c r="H1" s="481"/>
    </row>
    <row r="2" spans="1:8" ht="54.5" customHeight="1">
      <c r="A2" s="86"/>
      <c r="B2" s="87" t="s">
        <v>3</v>
      </c>
      <c r="C2" s="6" t="s">
        <v>2172</v>
      </c>
      <c r="D2" s="6"/>
      <c r="E2" s="89"/>
      <c r="F2" s="1416"/>
      <c r="G2" s="1416"/>
      <c r="H2" s="481"/>
    </row>
    <row r="3" spans="1:7" ht="50" customHeight="1">
      <c r="A3" s="86"/>
      <c r="B3" s="87" t="s">
        <v>17</v>
      </c>
      <c r="C3" s="8" t="s">
        <v>1337</v>
      </c>
      <c r="D3" s="89"/>
      <c r="E3" s="89"/>
      <c r="F3" s="1417" t="s">
        <v>1647</v>
      </c>
      <c r="G3" s="1417"/>
    </row>
    <row r="4" spans="1:7" ht="60.75" customHeight="1">
      <c r="A4" s="91"/>
      <c r="B4" s="92" t="s">
        <v>19</v>
      </c>
      <c r="C4" s="11" t="s">
        <v>1160</v>
      </c>
      <c r="D4" s="94"/>
      <c r="E4" s="94"/>
      <c r="F4" s="1418"/>
      <c r="G4" s="1418"/>
    </row>
    <row r="5" spans="1:8" ht="15" customHeight="1">
      <c r="A5" s="95"/>
      <c r="B5" s="96"/>
      <c r="C5" s="97"/>
      <c r="D5" s="98"/>
      <c r="E5" s="99"/>
      <c r="F5" s="100"/>
      <c r="G5" s="101"/>
      <c r="H5" s="77"/>
    </row>
    <row r="6" spans="1:12" s="109" customFormat="1" ht="11">
      <c r="A6" s="18" t="s">
        <v>20</v>
      </c>
      <c r="B6" s="20" t="s">
        <v>21</v>
      </c>
      <c r="C6" s="102" t="s">
        <v>22</v>
      </c>
      <c r="D6" s="20" t="s">
        <v>23</v>
      </c>
      <c r="E6" s="103" t="s">
        <v>24</v>
      </c>
      <c r="F6" s="104" t="s">
        <v>25</v>
      </c>
      <c r="G6" s="105" t="s">
        <v>26</v>
      </c>
      <c r="H6" s="106"/>
      <c r="I6" s="482"/>
      <c r="J6" s="482"/>
      <c r="K6" s="482"/>
      <c r="L6" s="482"/>
    </row>
    <row r="7" spans="1:12" s="109" customFormat="1" ht="5.25" customHeight="1">
      <c r="A7" s="110"/>
      <c r="B7" s="111"/>
      <c r="C7" s="112"/>
      <c r="D7" s="111"/>
      <c r="E7" s="113"/>
      <c r="F7" s="114"/>
      <c r="G7" s="115"/>
      <c r="H7" s="106"/>
      <c r="I7" s="482"/>
      <c r="J7" s="482"/>
      <c r="K7" s="482"/>
      <c r="L7" s="482"/>
    </row>
    <row r="8" spans="1:12" s="125" customFormat="1" ht="12.75">
      <c r="A8" s="116"/>
      <c r="B8" s="117"/>
      <c r="C8" s="118"/>
      <c r="D8" s="118"/>
      <c r="E8" s="119"/>
      <c r="F8" s="120"/>
      <c r="G8" s="121"/>
      <c r="H8" s="122"/>
      <c r="I8" s="483"/>
      <c r="J8" s="483"/>
      <c r="K8" s="483"/>
      <c r="L8" s="483"/>
    </row>
    <row r="9" spans="1:12" s="133" customFormat="1" ht="12.75">
      <c r="A9" s="126"/>
      <c r="B9" s="127"/>
      <c r="C9" s="128" t="s">
        <v>27</v>
      </c>
      <c r="D9" s="127"/>
      <c r="E9" s="129"/>
      <c r="F9" s="130"/>
      <c r="G9" s="131"/>
      <c r="H9" s="132"/>
      <c r="I9" s="484"/>
      <c r="J9" s="484"/>
      <c r="K9" s="484"/>
      <c r="L9" s="484"/>
    </row>
    <row r="10" spans="1:7" ht="56.25" customHeight="1" hidden="1">
      <c r="A10" s="134"/>
      <c r="B10" s="135"/>
      <c r="C10" s="136" t="s">
        <v>248</v>
      </c>
      <c r="D10" s="135"/>
      <c r="E10" s="137"/>
      <c r="F10" s="138"/>
      <c r="G10" s="139"/>
    </row>
    <row r="11" spans="1:7" ht="35.25" customHeight="1" hidden="1">
      <c r="A11" s="134"/>
      <c r="B11" s="135"/>
      <c r="C11" s="136" t="s">
        <v>249</v>
      </c>
      <c r="D11" s="135"/>
      <c r="E11" s="137"/>
      <c r="F11" s="138"/>
      <c r="G11" s="139"/>
    </row>
    <row r="12" spans="1:7" ht="30.75" customHeight="1" hidden="1">
      <c r="A12" s="134"/>
      <c r="B12" s="135"/>
      <c r="C12" s="136" t="s">
        <v>250</v>
      </c>
      <c r="D12" s="135"/>
      <c r="E12" s="137"/>
      <c r="F12" s="138"/>
      <c r="G12" s="139"/>
    </row>
    <row r="13" spans="1:7" ht="66" customHeight="1" hidden="1">
      <c r="A13" s="140"/>
      <c r="B13" s="141"/>
      <c r="C13" s="485" t="s">
        <v>251</v>
      </c>
      <c r="D13" s="141"/>
      <c r="E13" s="142"/>
      <c r="F13" s="143"/>
      <c r="G13" s="144"/>
    </row>
    <row r="14" spans="1:7" ht="63" customHeight="1" hidden="1">
      <c r="A14" s="145"/>
      <c r="B14" s="146"/>
      <c r="C14" s="486" t="s">
        <v>32</v>
      </c>
      <c r="D14" s="146"/>
      <c r="E14" s="147"/>
      <c r="F14" s="148"/>
      <c r="G14" s="149"/>
    </row>
    <row r="15" spans="1:7" ht="29.25" customHeight="1" hidden="1">
      <c r="A15" s="134"/>
      <c r="B15" s="135"/>
      <c r="C15" s="150" t="s">
        <v>252</v>
      </c>
      <c r="D15" s="135"/>
      <c r="E15" s="137"/>
      <c r="F15" s="138"/>
      <c r="G15" s="139"/>
    </row>
    <row r="16" spans="1:7" ht="36.75" customHeight="1" hidden="1">
      <c r="A16" s="134"/>
      <c r="B16" s="135"/>
      <c r="C16" s="150" t="s">
        <v>253</v>
      </c>
      <c r="D16" s="135"/>
      <c r="E16" s="137"/>
      <c r="F16" s="138"/>
      <c r="G16" s="139"/>
    </row>
    <row r="17" spans="1:7" ht="43.5" customHeight="1" hidden="1">
      <c r="A17" s="134"/>
      <c r="B17" s="135"/>
      <c r="C17" s="150" t="s">
        <v>254</v>
      </c>
      <c r="D17" s="135"/>
      <c r="E17" s="137"/>
      <c r="F17" s="138"/>
      <c r="G17" s="139"/>
    </row>
    <row r="18" spans="1:12" s="133" customFormat="1" ht="12.75">
      <c r="A18" s="126"/>
      <c r="B18" s="127"/>
      <c r="C18" s="151"/>
      <c r="D18" s="127"/>
      <c r="E18" s="129"/>
      <c r="F18" s="130"/>
      <c r="G18" s="131"/>
      <c r="H18" s="132"/>
      <c r="I18" s="484"/>
      <c r="J18" s="484"/>
      <c r="K18" s="484"/>
      <c r="L18" s="484"/>
    </row>
    <row r="19" spans="1:12" s="125" customFormat="1" ht="33" customHeight="1">
      <c r="A19" s="152"/>
      <c r="B19" s="153"/>
      <c r="C19" s="154" t="s">
        <v>36</v>
      </c>
      <c r="D19" s="153"/>
      <c r="E19" s="155"/>
      <c r="F19" s="156"/>
      <c r="G19" s="157"/>
      <c r="H19" s="122"/>
      <c r="I19" s="483"/>
      <c r="J19" s="483"/>
      <c r="K19" s="483"/>
      <c r="L19" s="483"/>
    </row>
    <row r="20" spans="1:12" s="125" customFormat="1" ht="22">
      <c r="A20" s="152"/>
      <c r="B20" s="153"/>
      <c r="C20" s="158" t="s">
        <v>37</v>
      </c>
      <c r="D20" s="153"/>
      <c r="E20" s="155"/>
      <c r="F20" s="156"/>
      <c r="G20" s="394"/>
      <c r="H20" s="122"/>
      <c r="I20" s="483"/>
      <c r="J20" s="483"/>
      <c r="K20" s="483"/>
      <c r="L20" s="483"/>
    </row>
    <row r="21" spans="1:12" s="125" customFormat="1" ht="17.75" customHeight="1">
      <c r="A21" s="160" t="str">
        <f>A36</f>
        <v>1</v>
      </c>
      <c r="B21" s="161"/>
      <c r="C21" s="162" t="str">
        <f>C36</f>
        <v>Bourací práce</v>
      </c>
      <c r="D21" s="164"/>
      <c r="E21" s="164"/>
      <c r="F21" s="165"/>
      <c r="G21" s="395">
        <f>G80</f>
        <v>0</v>
      </c>
      <c r="H21" s="122"/>
      <c r="I21" s="483"/>
      <c r="J21" s="483"/>
      <c r="K21" s="483"/>
      <c r="L21" s="483"/>
    </row>
    <row r="22" spans="1:12" s="125" customFormat="1" ht="17.75" customHeight="1">
      <c r="A22" s="742" t="str">
        <f>A82</f>
        <v>2</v>
      </c>
      <c r="B22" s="743"/>
      <c r="C22" s="744" t="str">
        <f>C82</f>
        <v>Zakládání</v>
      </c>
      <c r="D22" s="745"/>
      <c r="E22" s="745"/>
      <c r="F22" s="746"/>
      <c r="G22" s="747">
        <f>G110</f>
        <v>0</v>
      </c>
      <c r="H22" s="122"/>
      <c r="I22" s="483"/>
      <c r="J22" s="483"/>
      <c r="K22" s="483"/>
      <c r="L22" s="483"/>
    </row>
    <row r="23" spans="1:12" s="125" customFormat="1" ht="17.75" customHeight="1">
      <c r="A23" s="487" t="str">
        <f>A112</f>
        <v>3</v>
      </c>
      <c r="B23" s="161"/>
      <c r="C23" s="162" t="str">
        <f>C112</f>
        <v>Svislé a kompletní konstrukce</v>
      </c>
      <c r="D23" s="164"/>
      <c r="E23" s="164"/>
      <c r="F23" s="165"/>
      <c r="G23" s="395">
        <f>G133</f>
        <v>0</v>
      </c>
      <c r="H23" s="122"/>
      <c r="I23" s="483"/>
      <c r="J23" s="483"/>
      <c r="K23" s="483"/>
      <c r="L23" s="483"/>
    </row>
    <row r="24" spans="1:12" s="125" customFormat="1" ht="17.75" customHeight="1">
      <c r="A24" s="487" t="str">
        <f>A135</f>
        <v>4</v>
      </c>
      <c r="B24" s="161"/>
      <c r="C24" s="162" t="str">
        <f>C135</f>
        <v>Vodorovné konstrukce</v>
      </c>
      <c r="D24" s="164"/>
      <c r="E24" s="164"/>
      <c r="F24" s="165"/>
      <c r="G24" s="395">
        <f>G146</f>
        <v>0</v>
      </c>
      <c r="H24" s="122"/>
      <c r="I24" s="483"/>
      <c r="J24" s="483"/>
      <c r="K24" s="483"/>
      <c r="L24" s="483"/>
    </row>
    <row r="25" spans="1:12" s="125" customFormat="1" ht="17.75" customHeight="1">
      <c r="A25" s="487" t="str">
        <f>A148</f>
        <v>5</v>
      </c>
      <c r="B25" s="161"/>
      <c r="C25" s="162" t="str">
        <f>C148</f>
        <v>Úpravy povrchů, podlahy a osazování výplní</v>
      </c>
      <c r="D25" s="164"/>
      <c r="E25" s="164"/>
      <c r="F25" s="165"/>
      <c r="G25" s="395">
        <f>G181</f>
        <v>0</v>
      </c>
      <c r="H25" s="122"/>
      <c r="I25" s="483"/>
      <c r="J25" s="483"/>
      <c r="K25" s="483"/>
      <c r="L25" s="483"/>
    </row>
    <row r="26" spans="1:12" s="125" customFormat="1" ht="17.75" customHeight="1">
      <c r="A26" s="160" t="str">
        <f>A183</f>
        <v>6</v>
      </c>
      <c r="B26" s="161"/>
      <c r="C26" s="162" t="str">
        <f>C183</f>
        <v>Přesun hmot</v>
      </c>
      <c r="D26" s="164"/>
      <c r="E26" s="164"/>
      <c r="F26" s="165"/>
      <c r="G26" s="395">
        <f>G187</f>
        <v>0</v>
      </c>
      <c r="H26" s="122"/>
      <c r="I26" s="483"/>
      <c r="J26" s="483"/>
      <c r="K26" s="483"/>
      <c r="L26" s="483"/>
    </row>
    <row r="27" spans="1:12" s="125" customFormat="1" ht="17.75" customHeight="1">
      <c r="A27" s="487" t="str">
        <f>A189</f>
        <v>7</v>
      </c>
      <c r="B27" s="161"/>
      <c r="C27" s="162" t="str">
        <f>C189</f>
        <v>Konstrukce tesařské</v>
      </c>
      <c r="D27" s="164"/>
      <c r="E27" s="164"/>
      <c r="F27" s="165"/>
      <c r="G27" s="395">
        <f>G199</f>
        <v>0</v>
      </c>
      <c r="H27" s="122"/>
      <c r="I27" s="483"/>
      <c r="J27" s="483"/>
      <c r="K27" s="483"/>
      <c r="L27" s="483"/>
    </row>
    <row r="28" spans="1:12" s="125" customFormat="1" ht="17.75" customHeight="1">
      <c r="A28" s="742" t="str">
        <f>A201</f>
        <v>8</v>
      </c>
      <c r="B28" s="743"/>
      <c r="C28" s="744" t="str">
        <f>C201</f>
        <v>Konstrukce klempířské</v>
      </c>
      <c r="D28" s="745"/>
      <c r="E28" s="745"/>
      <c r="F28" s="746"/>
      <c r="G28" s="747">
        <f>G208</f>
        <v>0</v>
      </c>
      <c r="H28" s="122"/>
      <c r="I28" s="483"/>
      <c r="J28" s="483"/>
      <c r="K28" s="483"/>
      <c r="L28" s="483"/>
    </row>
    <row r="29" spans="1:12" s="125" customFormat="1" ht="17.75" customHeight="1">
      <c r="A29" s="742" t="str">
        <f>A210</f>
        <v>9</v>
      </c>
      <c r="B29" s="743"/>
      <c r="C29" s="744" t="str">
        <f>C210</f>
        <v>Krytina skládaná</v>
      </c>
      <c r="D29" s="745"/>
      <c r="E29" s="745"/>
      <c r="F29" s="746"/>
      <c r="G29" s="747">
        <f>G216</f>
        <v>0</v>
      </c>
      <c r="H29" s="122"/>
      <c r="I29" s="483"/>
      <c r="J29" s="483"/>
      <c r="K29" s="483"/>
      <c r="L29" s="483"/>
    </row>
    <row r="30" spans="1:12" s="125" customFormat="1" ht="17.75" customHeight="1">
      <c r="A30" s="742" t="str">
        <f>A218</f>
        <v>10</v>
      </c>
      <c r="B30" s="743"/>
      <c r="C30" s="744" t="str">
        <f>C218</f>
        <v>Dokončovací práce - obklady</v>
      </c>
      <c r="D30" s="745"/>
      <c r="E30" s="745"/>
      <c r="F30" s="746"/>
      <c r="G30" s="747">
        <f>G228</f>
        <v>0</v>
      </c>
      <c r="H30" s="122"/>
      <c r="I30" s="483"/>
      <c r="J30" s="483"/>
      <c r="K30" s="483"/>
      <c r="L30" s="483"/>
    </row>
    <row r="31" spans="1:12" s="125" customFormat="1" ht="17.75" customHeight="1">
      <c r="A31" s="160" t="str">
        <f>A230</f>
        <v>11</v>
      </c>
      <c r="B31" s="161"/>
      <c r="C31" s="162" t="str">
        <f>C230</f>
        <v>Dokončovací práce - malby</v>
      </c>
      <c r="D31" s="164"/>
      <c r="E31" s="164"/>
      <c r="F31" s="165"/>
      <c r="G31" s="395">
        <f>G241</f>
        <v>0</v>
      </c>
      <c r="H31" s="122"/>
      <c r="I31" s="483"/>
      <c r="J31" s="483"/>
      <c r="K31" s="483"/>
      <c r="L31" s="483"/>
    </row>
    <row r="32" spans="1:12" s="125" customFormat="1" ht="17.75" customHeight="1">
      <c r="A32" s="160" t="str">
        <f>A243</f>
        <v>12</v>
      </c>
      <c r="B32" s="161"/>
      <c r="C32" s="162" t="str">
        <f>C243</f>
        <v>Ostatní  práce a dodávky</v>
      </c>
      <c r="D32" s="164"/>
      <c r="E32" s="164"/>
      <c r="F32" s="165"/>
      <c r="G32" s="395">
        <f>G252</f>
        <v>0</v>
      </c>
      <c r="H32" s="122"/>
      <c r="I32" s="483"/>
      <c r="J32" s="483"/>
      <c r="K32" s="483"/>
      <c r="L32" s="483"/>
    </row>
    <row r="33" spans="1:7" ht="13" thickBot="1">
      <c r="A33" s="160"/>
      <c r="B33" s="153"/>
      <c r="C33" s="167"/>
      <c r="D33" s="153"/>
      <c r="E33" s="168"/>
      <c r="F33" s="156"/>
      <c r="G33" s="395"/>
    </row>
    <row r="34" spans="1:7" ht="28.5" customHeight="1">
      <c r="A34" s="170"/>
      <c r="B34" s="171"/>
      <c r="C34" s="172" t="s">
        <v>38</v>
      </c>
      <c r="D34" s="175"/>
      <c r="E34" s="174"/>
      <c r="F34" s="175"/>
      <c r="G34" s="176">
        <f>SUM(G21:G32)</f>
        <v>0</v>
      </c>
    </row>
    <row r="35" spans="1:7" ht="12.75">
      <c r="A35" s="179"/>
      <c r="B35" s="180"/>
      <c r="C35" s="180"/>
      <c r="D35" s="180"/>
      <c r="E35" s="180"/>
      <c r="F35" s="180"/>
      <c r="G35" s="396"/>
    </row>
    <row r="36" spans="1:12" s="125" customFormat="1" ht="18" customHeight="1">
      <c r="A36" s="182" t="s">
        <v>43</v>
      </c>
      <c r="B36" s="183"/>
      <c r="C36" s="184" t="s">
        <v>339</v>
      </c>
      <c r="D36" s="397"/>
      <c r="E36" s="398"/>
      <c r="F36" s="187"/>
      <c r="G36" s="399"/>
      <c r="H36" s="122"/>
      <c r="I36" s="483"/>
      <c r="J36" s="483"/>
      <c r="K36" s="483"/>
      <c r="L36" s="483"/>
    </row>
    <row r="37" spans="1:12" s="125" customFormat="1" ht="12.75" customHeight="1">
      <c r="A37" s="189"/>
      <c r="B37" s="400"/>
      <c r="C37" s="232"/>
      <c r="D37" s="233"/>
      <c r="E37" s="401"/>
      <c r="F37" s="402"/>
      <c r="G37" s="403"/>
      <c r="H37" s="122"/>
      <c r="I37" s="483"/>
      <c r="J37" s="483"/>
      <c r="K37" s="483"/>
      <c r="L37" s="483"/>
    </row>
    <row r="38" spans="1:20" s="204" customFormat="1" ht="22.5" customHeight="1">
      <c r="A38" s="196" t="s">
        <v>45</v>
      </c>
      <c r="B38" s="197" t="s">
        <v>2056</v>
      </c>
      <c r="C38" s="136" t="s">
        <v>2057</v>
      </c>
      <c r="D38" s="198" t="s">
        <v>52</v>
      </c>
      <c r="E38" s="199">
        <f>SUM(D39)</f>
        <v>13.399999999999999</v>
      </c>
      <c r="F38" s="199"/>
      <c r="G38" s="200">
        <f>E38*F38</f>
        <v>0</v>
      </c>
      <c r="H38" s="201">
        <v>0</v>
      </c>
      <c r="I38" s="201">
        <f>E38*H38</f>
        <v>0</v>
      </c>
      <c r="J38" s="85">
        <v>2.2</v>
      </c>
      <c r="K38" s="85">
        <f>E38*J38</f>
        <v>29.48</v>
      </c>
      <c r="L38" s="85"/>
      <c r="M38" s="85"/>
      <c r="N38" s="202"/>
      <c r="O38" s="203"/>
      <c r="P38" s="203"/>
      <c r="Q38" s="203"/>
      <c r="R38" s="203"/>
      <c r="S38" s="203"/>
      <c r="T38" s="203"/>
    </row>
    <row r="39" spans="1:20" s="214" customFormat="1" ht="15" customHeight="1">
      <c r="A39" s="196"/>
      <c r="B39" s="205"/>
      <c r="C39" s="206" t="s">
        <v>2111</v>
      </c>
      <c r="D39" s="207">
        <f>10.2*0.8*0.5+4.6*0.8*0.5+4.6*0.6*0.5+4.6*0.5*0.4+13*0.8*0.5-0.02</f>
        <v>13.399999999999999</v>
      </c>
      <c r="E39" s="208"/>
      <c r="F39" s="208"/>
      <c r="G39" s="209"/>
      <c r="H39" s="210"/>
      <c r="I39" s="210"/>
      <c r="J39" s="211"/>
      <c r="K39" s="85"/>
      <c r="L39" s="211"/>
      <c r="M39" s="211"/>
      <c r="N39" s="212"/>
      <c r="O39" s="213"/>
      <c r="P39" s="213"/>
      <c r="Q39" s="213"/>
      <c r="R39" s="213"/>
      <c r="S39" s="213"/>
      <c r="T39" s="213"/>
    </row>
    <row r="40" spans="1:20" s="204" customFormat="1" ht="22.5" customHeight="1">
      <c r="A40" s="196" t="s">
        <v>47</v>
      </c>
      <c r="B40" s="197" t="s">
        <v>2058</v>
      </c>
      <c r="C40" s="136" t="s">
        <v>2059</v>
      </c>
      <c r="D40" s="198" t="s">
        <v>52</v>
      </c>
      <c r="E40" s="199">
        <f>SUM(D41)</f>
        <v>35.996199999999995</v>
      </c>
      <c r="F40" s="199"/>
      <c r="G40" s="200">
        <f>E40*F40</f>
        <v>0</v>
      </c>
      <c r="H40" s="201">
        <v>0</v>
      </c>
      <c r="I40" s="201">
        <f>E40*H40</f>
        <v>0</v>
      </c>
      <c r="J40" s="85">
        <v>2.27</v>
      </c>
      <c r="K40" s="85">
        <f>E40*J40</f>
        <v>81.71137399999999</v>
      </c>
      <c r="L40" s="85"/>
      <c r="M40" s="85"/>
      <c r="N40" s="202"/>
      <c r="O40" s="203"/>
      <c r="P40" s="203"/>
      <c r="Q40" s="203"/>
      <c r="R40" s="203"/>
      <c r="S40" s="203"/>
      <c r="T40" s="203"/>
    </row>
    <row r="41" spans="1:20" s="214" customFormat="1" ht="28.5" customHeight="1">
      <c r="A41" s="196"/>
      <c r="B41" s="205"/>
      <c r="C41" s="206" t="s">
        <v>2110</v>
      </c>
      <c r="D41" s="207">
        <f>4.6*3.75*0.3*2+4.6*3.25*0.2+12.5*2.95*0.3+9.9*4.6*0.3-0.9*1.97*2*0.3-1.85*1.9*0.3+0.05</f>
        <v>35.996199999999995</v>
      </c>
      <c r="E41" s="208"/>
      <c r="F41" s="208"/>
      <c r="G41" s="209"/>
      <c r="H41" s="210"/>
      <c r="I41" s="210"/>
      <c r="J41" s="211"/>
      <c r="K41" s="85"/>
      <c r="L41" s="211"/>
      <c r="M41" s="211"/>
      <c r="N41" s="212"/>
      <c r="O41" s="213"/>
      <c r="P41" s="213"/>
      <c r="Q41" s="213"/>
      <c r="R41" s="213"/>
      <c r="S41" s="213"/>
      <c r="T41" s="213"/>
    </row>
    <row r="42" spans="1:20" s="204" customFormat="1" ht="29.25" customHeight="1">
      <c r="A42" s="196" t="s">
        <v>50</v>
      </c>
      <c r="B42" s="197" t="s">
        <v>1523</v>
      </c>
      <c r="C42" s="136" t="s">
        <v>1513</v>
      </c>
      <c r="D42" s="198" t="s">
        <v>46</v>
      </c>
      <c r="E42" s="199">
        <f>SUM(D43)</f>
        <v>15</v>
      </c>
      <c r="F42" s="199"/>
      <c r="G42" s="200">
        <f>E42*F42</f>
        <v>0</v>
      </c>
      <c r="H42" s="201">
        <v>0</v>
      </c>
      <c r="I42" s="201">
        <f>E42*H42</f>
        <v>0</v>
      </c>
      <c r="J42" s="85">
        <v>0.261</v>
      </c>
      <c r="K42" s="85">
        <f>E42*J42</f>
        <v>3.915</v>
      </c>
      <c r="L42" s="85"/>
      <c r="M42" s="85"/>
      <c r="N42" s="202"/>
      <c r="O42" s="203"/>
      <c r="P42" s="203"/>
      <c r="Q42" s="203"/>
      <c r="R42" s="203"/>
      <c r="S42" s="203"/>
      <c r="T42" s="203"/>
    </row>
    <row r="43" spans="1:20" s="214" customFormat="1" ht="15" customHeight="1">
      <c r="A43" s="196"/>
      <c r="B43" s="205"/>
      <c r="C43" s="206" t="s">
        <v>2109</v>
      </c>
      <c r="D43" s="207">
        <f>4.6*3.25+0.05</f>
        <v>15</v>
      </c>
      <c r="E43" s="208"/>
      <c r="F43" s="208"/>
      <c r="G43" s="209"/>
      <c r="H43" s="210"/>
      <c r="I43" s="210"/>
      <c r="J43" s="211"/>
      <c r="K43" s="85"/>
      <c r="L43" s="211"/>
      <c r="M43" s="211"/>
      <c r="N43" s="212"/>
      <c r="O43" s="213"/>
      <c r="P43" s="213"/>
      <c r="Q43" s="213"/>
      <c r="R43" s="213"/>
      <c r="S43" s="213"/>
      <c r="T43" s="213"/>
    </row>
    <row r="44" spans="1:20" s="204" customFormat="1" ht="29.25" customHeight="1">
      <c r="A44" s="196" t="s">
        <v>53</v>
      </c>
      <c r="B44" s="197">
        <v>965042241</v>
      </c>
      <c r="C44" s="136" t="s">
        <v>340</v>
      </c>
      <c r="D44" s="198" t="s">
        <v>52</v>
      </c>
      <c r="E44" s="199">
        <f>SUM(D45)</f>
        <v>16.195</v>
      </c>
      <c r="F44" s="199"/>
      <c r="G44" s="200">
        <f aca="true" t="shared" si="0" ref="G44:G49">E44*F44</f>
        <v>0</v>
      </c>
      <c r="H44" s="201">
        <v>0</v>
      </c>
      <c r="I44" s="201">
        <f aca="true" t="shared" si="1" ref="I44:I49">E44*H44</f>
        <v>0</v>
      </c>
      <c r="J44" s="85">
        <v>2.2</v>
      </c>
      <c r="K44" s="85">
        <f aca="true" t="shared" si="2" ref="K44:K49">E44*J44</f>
        <v>35.629000000000005</v>
      </c>
      <c r="L44" s="85"/>
      <c r="M44" s="85"/>
      <c r="N44" s="202"/>
      <c r="O44" s="203"/>
      <c r="P44" s="203"/>
      <c r="Q44" s="203"/>
      <c r="R44" s="203"/>
      <c r="S44" s="203"/>
      <c r="T44" s="203"/>
    </row>
    <row r="45" spans="1:20" s="214" customFormat="1" ht="15" customHeight="1">
      <c r="A45" s="196"/>
      <c r="B45" s="205"/>
      <c r="C45" s="206" t="s">
        <v>2112</v>
      </c>
      <c r="D45" s="207">
        <f>64.5*0.25+0.07</f>
        <v>16.195</v>
      </c>
      <c r="E45" s="208"/>
      <c r="F45" s="208"/>
      <c r="G45" s="209"/>
      <c r="H45" s="210"/>
      <c r="I45" s="210"/>
      <c r="J45" s="211"/>
      <c r="K45" s="85"/>
      <c r="L45" s="211"/>
      <c r="M45" s="211"/>
      <c r="N45" s="212"/>
      <c r="O45" s="213"/>
      <c r="P45" s="213"/>
      <c r="Q45" s="213"/>
      <c r="R45" s="213"/>
      <c r="S45" s="213"/>
      <c r="T45" s="213"/>
    </row>
    <row r="46" spans="1:20" s="204" customFormat="1" ht="29.25" customHeight="1">
      <c r="A46" s="196" t="s">
        <v>56</v>
      </c>
      <c r="B46" s="197">
        <v>965049112</v>
      </c>
      <c r="C46" s="136" t="s">
        <v>341</v>
      </c>
      <c r="D46" s="198" t="s">
        <v>52</v>
      </c>
      <c r="E46" s="199">
        <f>E44</f>
        <v>16.195</v>
      </c>
      <c r="F46" s="199"/>
      <c r="G46" s="200">
        <f>E46*F46</f>
        <v>0</v>
      </c>
      <c r="H46" s="201">
        <v>0</v>
      </c>
      <c r="I46" s="201">
        <f>E46*H46</f>
        <v>0</v>
      </c>
      <c r="J46" s="85">
        <v>0.029</v>
      </c>
      <c r="K46" s="85">
        <f>E46*J46</f>
        <v>0.46965500000000004</v>
      </c>
      <c r="L46" s="85"/>
      <c r="M46" s="85"/>
      <c r="N46" s="202"/>
      <c r="O46" s="203"/>
      <c r="P46" s="203"/>
      <c r="Q46" s="203"/>
      <c r="R46" s="203"/>
      <c r="S46" s="203"/>
      <c r="T46" s="203"/>
    </row>
    <row r="47" spans="1:20" s="204" customFormat="1" ht="21.75" customHeight="1">
      <c r="A47" s="196" t="s">
        <v>58</v>
      </c>
      <c r="B47" s="197">
        <v>711131811</v>
      </c>
      <c r="C47" s="136" t="s">
        <v>57</v>
      </c>
      <c r="D47" s="198" t="s">
        <v>46</v>
      </c>
      <c r="E47" s="199">
        <f>SUM(D48)</f>
        <v>71</v>
      </c>
      <c r="F47" s="199"/>
      <c r="G47" s="200">
        <f t="shared" si="0"/>
        <v>0</v>
      </c>
      <c r="H47" s="201">
        <v>0</v>
      </c>
      <c r="I47" s="201">
        <f t="shared" si="1"/>
        <v>0</v>
      </c>
      <c r="J47" s="85">
        <v>0.004</v>
      </c>
      <c r="K47" s="85">
        <f t="shared" si="2"/>
        <v>0.28400000000000003</v>
      </c>
      <c r="L47" s="85"/>
      <c r="M47" s="85"/>
      <c r="N47" s="202"/>
      <c r="O47" s="203"/>
      <c r="P47" s="203"/>
      <c r="Q47" s="203"/>
      <c r="R47" s="203"/>
      <c r="S47" s="203"/>
      <c r="T47" s="203"/>
    </row>
    <row r="48" spans="1:20" s="214" customFormat="1" ht="15" customHeight="1">
      <c r="A48" s="196"/>
      <c r="B48" s="205"/>
      <c r="C48" s="206" t="s">
        <v>2113</v>
      </c>
      <c r="D48" s="207">
        <f>64.5*1.1+0.05</f>
        <v>71</v>
      </c>
      <c r="E48" s="208"/>
      <c r="F48" s="208"/>
      <c r="G48" s="209"/>
      <c r="H48" s="210"/>
      <c r="I48" s="210"/>
      <c r="J48" s="211"/>
      <c r="K48" s="85"/>
      <c r="L48" s="211"/>
      <c r="M48" s="211"/>
      <c r="N48" s="212"/>
      <c r="O48" s="213"/>
      <c r="P48" s="213"/>
      <c r="Q48" s="213"/>
      <c r="R48" s="213"/>
      <c r="S48" s="213"/>
      <c r="T48" s="213"/>
    </row>
    <row r="49" spans="1:20" s="204" customFormat="1" ht="29.25" customHeight="1">
      <c r="A49" s="196" t="s">
        <v>61</v>
      </c>
      <c r="B49" s="197" t="s">
        <v>59</v>
      </c>
      <c r="C49" s="136" t="s">
        <v>60</v>
      </c>
      <c r="D49" s="198" t="s">
        <v>52</v>
      </c>
      <c r="E49" s="199">
        <f>SUM(D50)</f>
        <v>8.4</v>
      </c>
      <c r="F49" s="199"/>
      <c r="G49" s="200">
        <f t="shared" si="0"/>
        <v>0</v>
      </c>
      <c r="H49" s="201">
        <v>0</v>
      </c>
      <c r="I49" s="201">
        <f t="shared" si="1"/>
        <v>0</v>
      </c>
      <c r="J49" s="85">
        <v>1.4</v>
      </c>
      <c r="K49" s="85">
        <f t="shared" si="2"/>
        <v>11.76</v>
      </c>
      <c r="L49" s="85"/>
      <c r="M49" s="85"/>
      <c r="N49" s="202"/>
      <c r="O49" s="203"/>
      <c r="P49" s="203"/>
      <c r="Q49" s="203"/>
      <c r="R49" s="203"/>
      <c r="S49" s="203"/>
      <c r="T49" s="203"/>
    </row>
    <row r="50" spans="1:20" s="214" customFormat="1" ht="15" customHeight="1">
      <c r="A50" s="196"/>
      <c r="B50" s="205"/>
      <c r="C50" s="206" t="s">
        <v>2114</v>
      </c>
      <c r="D50" s="207">
        <f>56*0.15</f>
        <v>8.4</v>
      </c>
      <c r="E50" s="208"/>
      <c r="F50" s="208"/>
      <c r="G50" s="209"/>
      <c r="H50" s="210"/>
      <c r="I50" s="210"/>
      <c r="J50" s="211"/>
      <c r="K50" s="85"/>
      <c r="L50" s="211"/>
      <c r="M50" s="211"/>
      <c r="N50" s="212"/>
      <c r="O50" s="213"/>
      <c r="P50" s="213"/>
      <c r="Q50" s="213"/>
      <c r="R50" s="213"/>
      <c r="S50" s="213"/>
      <c r="T50" s="213"/>
    </row>
    <row r="51" spans="1:20" s="204" customFormat="1" ht="23.25" customHeight="1">
      <c r="A51" s="196" t="s">
        <v>63</v>
      </c>
      <c r="B51" s="197">
        <v>968072455</v>
      </c>
      <c r="C51" s="136" t="s">
        <v>1089</v>
      </c>
      <c r="D51" s="198" t="s">
        <v>46</v>
      </c>
      <c r="E51" s="199">
        <f>SUM(D52)</f>
        <v>3.546</v>
      </c>
      <c r="F51" s="199"/>
      <c r="G51" s="200">
        <f>E51*F51</f>
        <v>0</v>
      </c>
      <c r="H51" s="201">
        <v>0</v>
      </c>
      <c r="I51" s="201">
        <f>E51*H51</f>
        <v>0</v>
      </c>
      <c r="J51" s="85">
        <v>0.076</v>
      </c>
      <c r="K51" s="673">
        <f>E51*J51</f>
        <v>0.26949599999999996</v>
      </c>
      <c r="L51" s="673"/>
      <c r="M51" s="85"/>
      <c r="N51" s="202"/>
      <c r="O51" s="794"/>
      <c r="P51" s="806"/>
      <c r="Q51" s="806"/>
      <c r="R51" s="808"/>
      <c r="S51" s="203"/>
      <c r="T51" s="203"/>
    </row>
    <row r="52" spans="1:20" s="214" customFormat="1" ht="15" customHeight="1">
      <c r="A52" s="196"/>
      <c r="B52" s="706"/>
      <c r="C52" s="707" t="s">
        <v>2119</v>
      </c>
      <c r="D52" s="708">
        <f>0.9*1.97*2</f>
        <v>3.546</v>
      </c>
      <c r="E52" s="709"/>
      <c r="F52" s="709"/>
      <c r="G52" s="710"/>
      <c r="H52" s="210"/>
      <c r="I52" s="210"/>
      <c r="J52" s="211"/>
      <c r="K52" s="673"/>
      <c r="L52" s="705"/>
      <c r="M52" s="211"/>
      <c r="N52" s="212"/>
      <c r="O52" s="794"/>
      <c r="P52" s="806"/>
      <c r="Q52" s="806"/>
      <c r="R52" s="807"/>
      <c r="S52" s="213"/>
      <c r="T52" s="213"/>
    </row>
    <row r="53" spans="1:20" s="204" customFormat="1" ht="23.25" customHeight="1">
      <c r="A53" s="196" t="s">
        <v>64</v>
      </c>
      <c r="B53" s="197">
        <v>968072456</v>
      </c>
      <c r="C53" s="136" t="s">
        <v>1512</v>
      </c>
      <c r="D53" s="198" t="s">
        <v>46</v>
      </c>
      <c r="E53" s="199">
        <f>SUM(D54)</f>
        <v>3.546</v>
      </c>
      <c r="F53" s="199"/>
      <c r="G53" s="200">
        <f>E53*F53</f>
        <v>0</v>
      </c>
      <c r="H53" s="201">
        <v>0</v>
      </c>
      <c r="I53" s="201">
        <f>E53*H53</f>
        <v>0</v>
      </c>
      <c r="J53" s="85">
        <v>0.063</v>
      </c>
      <c r="K53" s="673">
        <f>E53*J53</f>
        <v>0.22339799999999999</v>
      </c>
      <c r="L53" s="673"/>
      <c r="M53" s="85"/>
      <c r="N53" s="202"/>
      <c r="O53" s="794"/>
      <c r="P53" s="806"/>
      <c r="Q53" s="806"/>
      <c r="R53" s="808"/>
      <c r="S53" s="203"/>
      <c r="T53" s="203"/>
    </row>
    <row r="54" spans="1:20" s="214" customFormat="1" ht="15" customHeight="1">
      <c r="A54" s="196"/>
      <c r="B54" s="706"/>
      <c r="C54" s="707" t="s">
        <v>2119</v>
      </c>
      <c r="D54" s="708">
        <f>0.9*1.97*2</f>
        <v>3.546</v>
      </c>
      <c r="E54" s="709"/>
      <c r="F54" s="709"/>
      <c r="G54" s="710"/>
      <c r="H54" s="210"/>
      <c r="I54" s="210"/>
      <c r="J54" s="211"/>
      <c r="K54" s="673"/>
      <c r="L54" s="705"/>
      <c r="M54" s="211"/>
      <c r="N54" s="212"/>
      <c r="O54" s="794"/>
      <c r="P54" s="806"/>
      <c r="Q54" s="806"/>
      <c r="R54" s="807"/>
      <c r="S54" s="213"/>
      <c r="T54" s="213"/>
    </row>
    <row r="55" spans="1:20" s="204" customFormat="1" ht="19.5" customHeight="1">
      <c r="A55" s="196" t="s">
        <v>66</v>
      </c>
      <c r="B55" s="197">
        <v>766691914</v>
      </c>
      <c r="C55" s="136" t="s">
        <v>1393</v>
      </c>
      <c r="D55" s="198" t="s">
        <v>175</v>
      </c>
      <c r="E55" s="199">
        <v>4</v>
      </c>
      <c r="F55" s="199"/>
      <c r="G55" s="200">
        <f>E55*F55</f>
        <v>0</v>
      </c>
      <c r="H55" s="201">
        <v>0</v>
      </c>
      <c r="I55" s="201">
        <f>E55*H55</f>
        <v>0</v>
      </c>
      <c r="J55" s="85">
        <v>0.024</v>
      </c>
      <c r="K55" s="673">
        <f>E55*J55</f>
        <v>0.096</v>
      </c>
      <c r="L55" s="673"/>
      <c r="M55" s="85"/>
      <c r="N55" s="202"/>
      <c r="O55" s="794"/>
      <c r="P55" s="806"/>
      <c r="Q55" s="806"/>
      <c r="R55" s="808"/>
      <c r="S55" s="203"/>
      <c r="T55" s="203"/>
    </row>
    <row r="56" spans="1:20" s="204" customFormat="1" ht="20.25" customHeight="1">
      <c r="A56" s="196" t="s">
        <v>70</v>
      </c>
      <c r="B56" s="237" t="s">
        <v>1104</v>
      </c>
      <c r="C56" s="711" t="s">
        <v>1105</v>
      </c>
      <c r="D56" s="712" t="s">
        <v>46</v>
      </c>
      <c r="E56" s="713">
        <f>SUM(D57)</f>
        <v>0.935</v>
      </c>
      <c r="F56" s="199"/>
      <c r="G56" s="200">
        <f>E56*F56</f>
        <v>0</v>
      </c>
      <c r="H56" s="85">
        <v>0</v>
      </c>
      <c r="I56" s="85">
        <f>E56*H56</f>
        <v>0</v>
      </c>
      <c r="J56" s="201">
        <v>0.048</v>
      </c>
      <c r="K56" s="201">
        <f>E56*J56</f>
        <v>0.04488</v>
      </c>
      <c r="L56" s="85"/>
      <c r="M56" s="85"/>
      <c r="N56" s="202"/>
      <c r="O56" s="794"/>
      <c r="P56" s="806"/>
      <c r="Q56" s="806"/>
      <c r="R56" s="808"/>
      <c r="S56" s="203"/>
      <c r="T56" s="203"/>
    </row>
    <row r="57" spans="1:20" s="596" customFormat="1" ht="21.75" customHeight="1">
      <c r="A57" s="591"/>
      <c r="B57" s="837"/>
      <c r="C57" s="838" t="s">
        <v>2120</v>
      </c>
      <c r="D57" s="839">
        <f>0.85*1.1</f>
        <v>0.935</v>
      </c>
      <c r="E57" s="840"/>
      <c r="F57" s="841"/>
      <c r="G57" s="842"/>
      <c r="H57" s="593"/>
      <c r="I57" s="593"/>
      <c r="J57" s="592"/>
      <c r="K57" s="592"/>
      <c r="L57" s="593"/>
      <c r="M57" s="593"/>
      <c r="N57" s="594"/>
      <c r="O57" s="794"/>
      <c r="P57" s="806"/>
      <c r="Q57" s="806"/>
      <c r="R57" s="814"/>
      <c r="S57" s="595"/>
      <c r="T57" s="595"/>
    </row>
    <row r="58" spans="1:20" s="204" customFormat="1" ht="12" customHeight="1">
      <c r="A58" s="196"/>
      <c r="B58" s="197"/>
      <c r="C58" s="136"/>
      <c r="D58" s="198"/>
      <c r="E58" s="199"/>
      <c r="F58" s="199"/>
      <c r="G58" s="200"/>
      <c r="H58" s="201"/>
      <c r="I58" s="201"/>
      <c r="J58" s="85"/>
      <c r="K58" s="85"/>
      <c r="L58" s="85"/>
      <c r="M58" s="85"/>
      <c r="N58" s="202"/>
      <c r="O58" s="203"/>
      <c r="P58" s="203"/>
      <c r="Q58" s="203"/>
      <c r="R58" s="203"/>
      <c r="S58" s="203"/>
      <c r="T58" s="203"/>
    </row>
    <row r="59" spans="1:20" s="204" customFormat="1" ht="36.75" customHeight="1">
      <c r="A59" s="196" t="s">
        <v>74</v>
      </c>
      <c r="B59" s="237" t="s">
        <v>1038</v>
      </c>
      <c r="C59" s="711" t="s">
        <v>1039</v>
      </c>
      <c r="D59" s="712" t="s">
        <v>73</v>
      </c>
      <c r="E59" s="713">
        <f>H59</f>
        <v>169.44794299999998</v>
      </c>
      <c r="F59" s="199"/>
      <c r="G59" s="200">
        <f>E59*F59</f>
        <v>0</v>
      </c>
      <c r="H59" s="217">
        <f>K59+K198+K206+K216</f>
        <v>169.44794299999998</v>
      </c>
      <c r="I59" s="85"/>
      <c r="J59" s="201"/>
      <c r="K59" s="722">
        <f>SUM(K36:K58)</f>
        <v>163.882803</v>
      </c>
      <c r="L59" s="85"/>
      <c r="M59" s="85"/>
      <c r="N59" s="202"/>
      <c r="O59" s="203"/>
      <c r="P59" s="203"/>
      <c r="Q59" s="203"/>
      <c r="R59" s="203"/>
      <c r="S59" s="203"/>
      <c r="T59" s="203"/>
    </row>
    <row r="60" spans="1:20" s="204" customFormat="1" ht="22.5" customHeight="1">
      <c r="A60" s="196" t="s">
        <v>77</v>
      </c>
      <c r="B60" s="197" t="s">
        <v>71</v>
      </c>
      <c r="C60" s="136" t="s">
        <v>72</v>
      </c>
      <c r="D60" s="198" t="s">
        <v>73</v>
      </c>
      <c r="E60" s="199">
        <f>E59</f>
        <v>169.44794299999998</v>
      </c>
      <c r="F60" s="199"/>
      <c r="G60" s="200">
        <f>E60*F60</f>
        <v>0</v>
      </c>
      <c r="H60" s="85"/>
      <c r="I60" s="85"/>
      <c r="J60" s="201"/>
      <c r="K60" s="201"/>
      <c r="L60" s="85"/>
      <c r="M60" s="85"/>
      <c r="N60" s="202"/>
      <c r="O60" s="203"/>
      <c r="P60" s="203"/>
      <c r="Q60" s="203"/>
      <c r="R60" s="203"/>
      <c r="S60" s="203"/>
      <c r="T60" s="203"/>
    </row>
    <row r="61" spans="1:20" s="214" customFormat="1" ht="36.75" customHeight="1">
      <c r="A61" s="196" t="s">
        <v>80</v>
      </c>
      <c r="B61" s="237" t="s">
        <v>75</v>
      </c>
      <c r="C61" s="711" t="s">
        <v>1040</v>
      </c>
      <c r="D61" s="714" t="s">
        <v>73</v>
      </c>
      <c r="E61" s="713">
        <f>E59</f>
        <v>169.44794299999998</v>
      </c>
      <c r="F61" s="199"/>
      <c r="G61" s="200">
        <f>E61*F61</f>
        <v>0</v>
      </c>
      <c r="H61" s="211"/>
      <c r="I61" s="85"/>
      <c r="J61" s="210"/>
      <c r="K61" s="210"/>
      <c r="L61" s="211"/>
      <c r="M61" s="211"/>
      <c r="N61" s="212"/>
      <c r="O61" s="213"/>
      <c r="P61" s="213"/>
      <c r="Q61" s="213"/>
      <c r="R61" s="213"/>
      <c r="S61" s="213"/>
      <c r="T61" s="213"/>
    </row>
    <row r="62" spans="1:20" s="204" customFormat="1" ht="29.25" customHeight="1">
      <c r="A62" s="196" t="s">
        <v>82</v>
      </c>
      <c r="B62" s="237" t="s">
        <v>78</v>
      </c>
      <c r="C62" s="711" t="s">
        <v>1051</v>
      </c>
      <c r="D62" s="712" t="s">
        <v>73</v>
      </c>
      <c r="E62" s="713">
        <f>SUM(D63)</f>
        <v>1694.5</v>
      </c>
      <c r="F62" s="199"/>
      <c r="G62" s="200">
        <f>E62*F62</f>
        <v>0</v>
      </c>
      <c r="H62" s="85"/>
      <c r="I62" s="85"/>
      <c r="J62" s="201"/>
      <c r="K62" s="201"/>
      <c r="L62" s="85"/>
      <c r="M62" s="85"/>
      <c r="N62" s="202"/>
      <c r="O62" s="203"/>
      <c r="P62" s="203"/>
      <c r="Q62" s="203"/>
      <c r="R62" s="203"/>
      <c r="S62" s="203"/>
      <c r="T62" s="203"/>
    </row>
    <row r="63" spans="1:20" s="214" customFormat="1" ht="15" customHeight="1">
      <c r="A63" s="196"/>
      <c r="B63" s="205"/>
      <c r="C63" s="206" t="s">
        <v>2121</v>
      </c>
      <c r="D63" s="207">
        <f>169.45*10</f>
        <v>1694.5</v>
      </c>
      <c r="E63" s="208"/>
      <c r="F63" s="208"/>
      <c r="G63" s="209"/>
      <c r="H63" s="211"/>
      <c r="I63" s="85"/>
      <c r="J63" s="210"/>
      <c r="K63" s="210"/>
      <c r="L63" s="211"/>
      <c r="M63" s="211"/>
      <c r="N63" s="212"/>
      <c r="O63" s="213"/>
      <c r="P63" s="213"/>
      <c r="Q63" s="213"/>
      <c r="R63" s="213"/>
      <c r="S63" s="213"/>
      <c r="T63" s="213"/>
    </row>
    <row r="64" spans="1:20" s="214" customFormat="1" ht="30" customHeight="1">
      <c r="A64" s="196" t="s">
        <v>84</v>
      </c>
      <c r="B64" s="237" t="s">
        <v>1041</v>
      </c>
      <c r="C64" s="711" t="s">
        <v>1042</v>
      </c>
      <c r="D64" s="714" t="s">
        <v>73</v>
      </c>
      <c r="E64" s="713">
        <f>K40+K42</f>
        <v>85.626374</v>
      </c>
      <c r="F64" s="199"/>
      <c r="G64" s="200">
        <f>E64*F64</f>
        <v>0</v>
      </c>
      <c r="H64" s="211"/>
      <c r="I64" s="85"/>
      <c r="J64" s="210"/>
      <c r="K64" s="210"/>
      <c r="L64" s="211"/>
      <c r="M64" s="211"/>
      <c r="N64" s="212"/>
      <c r="O64" s="213"/>
      <c r="P64" s="213"/>
      <c r="Q64" s="213"/>
      <c r="R64" s="213"/>
      <c r="S64" s="213"/>
      <c r="T64" s="213"/>
    </row>
    <row r="65" spans="1:20" s="204" customFormat="1" ht="29.25" customHeight="1">
      <c r="A65" s="196" t="s">
        <v>85</v>
      </c>
      <c r="B65" s="197">
        <v>997221862</v>
      </c>
      <c r="C65" s="136" t="s">
        <v>81</v>
      </c>
      <c r="D65" s="198" t="s">
        <v>73</v>
      </c>
      <c r="E65" s="199">
        <f>K38+K44+K46</f>
        <v>65.57865500000001</v>
      </c>
      <c r="F65" s="199"/>
      <c r="G65" s="200">
        <f>E65*F65</f>
        <v>0</v>
      </c>
      <c r="H65" s="85"/>
      <c r="I65" s="85"/>
      <c r="J65" s="201"/>
      <c r="K65" s="201"/>
      <c r="L65" s="85"/>
      <c r="M65" s="85"/>
      <c r="N65" s="202"/>
      <c r="O65" s="203"/>
      <c r="P65" s="203"/>
      <c r="Q65" s="203"/>
      <c r="R65" s="203"/>
      <c r="S65" s="203"/>
      <c r="T65" s="203"/>
    </row>
    <row r="66" spans="1:20" s="204" customFormat="1" ht="29.25" customHeight="1">
      <c r="A66" s="196" t="s">
        <v>89</v>
      </c>
      <c r="B66" s="197">
        <v>997013871</v>
      </c>
      <c r="C66" s="136" t="s">
        <v>1064</v>
      </c>
      <c r="D66" s="198" t="s">
        <v>73</v>
      </c>
      <c r="E66" s="199">
        <f>K206+K51+K53+K55</f>
        <v>0.6532439999999999</v>
      </c>
      <c r="F66" s="199"/>
      <c r="G66" s="200">
        <f>$E66*F66</f>
        <v>0</v>
      </c>
      <c r="H66" s="85"/>
      <c r="I66" s="85"/>
      <c r="J66" s="201"/>
      <c r="K66" s="201"/>
      <c r="L66" s="85"/>
      <c r="M66" s="85"/>
      <c r="N66" s="202"/>
      <c r="O66" s="203"/>
      <c r="P66" s="203"/>
      <c r="Q66" s="203"/>
      <c r="R66" s="203"/>
      <c r="S66" s="203"/>
      <c r="T66" s="203"/>
    </row>
    <row r="67" spans="1:20" s="204" customFormat="1" ht="34.5" customHeight="1">
      <c r="A67" s="196" t="s">
        <v>91</v>
      </c>
      <c r="B67" s="237" t="s">
        <v>1043</v>
      </c>
      <c r="C67" s="711" t="s">
        <v>1044</v>
      </c>
      <c r="D67" s="712" t="s">
        <v>73</v>
      </c>
      <c r="E67" s="713">
        <f>K192+K56</f>
        <v>0.04488</v>
      </c>
      <c r="F67" s="199"/>
      <c r="G67" s="200">
        <f>E67*F67</f>
        <v>0</v>
      </c>
      <c r="H67" s="85"/>
      <c r="I67" s="85"/>
      <c r="J67" s="201"/>
      <c r="K67" s="201"/>
      <c r="L67" s="85"/>
      <c r="M67" s="85"/>
      <c r="N67" s="202"/>
      <c r="O67" s="203"/>
      <c r="P67" s="203"/>
      <c r="Q67" s="203"/>
      <c r="R67" s="203"/>
      <c r="S67" s="203"/>
      <c r="T67" s="203"/>
    </row>
    <row r="68" spans="1:20" s="204" customFormat="1" ht="34.5" customHeight="1">
      <c r="A68" s="196" t="s">
        <v>93</v>
      </c>
      <c r="B68" s="237" t="s">
        <v>1045</v>
      </c>
      <c r="C68" s="711" t="s">
        <v>1046</v>
      </c>
      <c r="D68" s="712" t="s">
        <v>73</v>
      </c>
      <c r="E68" s="713">
        <f>K47+K198</f>
        <v>4.5394</v>
      </c>
      <c r="F68" s="199"/>
      <c r="G68" s="200">
        <f>E68*F68</f>
        <v>0</v>
      </c>
      <c r="H68" s="217"/>
      <c r="I68" s="217"/>
      <c r="J68" s="201"/>
      <c r="K68" s="216"/>
      <c r="L68" s="85"/>
      <c r="M68" s="85"/>
      <c r="N68" s="202"/>
      <c r="O68" s="203"/>
      <c r="P68" s="203"/>
      <c r="Q68" s="203"/>
      <c r="R68" s="203"/>
      <c r="S68" s="203"/>
      <c r="T68" s="203"/>
    </row>
    <row r="69" spans="1:20" s="204" customFormat="1" ht="34.5" customHeight="1">
      <c r="A69" s="196" t="s">
        <v>95</v>
      </c>
      <c r="B69" s="237">
        <v>997013873</v>
      </c>
      <c r="C69" s="711" t="s">
        <v>1394</v>
      </c>
      <c r="D69" s="712" t="s">
        <v>73</v>
      </c>
      <c r="E69" s="713">
        <f>K49</f>
        <v>11.76</v>
      </c>
      <c r="F69" s="199"/>
      <c r="G69" s="200">
        <f>E69*F69</f>
        <v>0</v>
      </c>
      <c r="H69" s="217"/>
      <c r="I69" s="217"/>
      <c r="J69" s="201"/>
      <c r="K69" s="216"/>
      <c r="L69" s="85"/>
      <c r="M69" s="85"/>
      <c r="N69" s="202"/>
      <c r="O69" s="203"/>
      <c r="P69" s="203"/>
      <c r="Q69" s="203"/>
      <c r="R69" s="203"/>
      <c r="S69" s="203"/>
      <c r="T69" s="203"/>
    </row>
    <row r="70" spans="1:20" s="204" customFormat="1" ht="34.5" customHeight="1">
      <c r="A70" s="196" t="s">
        <v>103</v>
      </c>
      <c r="B70" s="237">
        <v>997013847</v>
      </c>
      <c r="C70" s="711" t="s">
        <v>2116</v>
      </c>
      <c r="D70" s="913" t="s">
        <v>73</v>
      </c>
      <c r="E70" s="914">
        <f>K216</f>
        <v>1.24539</v>
      </c>
      <c r="F70" s="739"/>
      <c r="G70" s="200">
        <f>E70*F70</f>
        <v>0</v>
      </c>
      <c r="H70" s="217"/>
      <c r="I70" s="217"/>
      <c r="J70" s="201"/>
      <c r="K70" s="216"/>
      <c r="L70" s="85"/>
      <c r="M70" s="85"/>
      <c r="N70" s="202"/>
      <c r="O70" s="203"/>
      <c r="P70" s="203"/>
      <c r="Q70" s="203"/>
      <c r="R70" s="203"/>
      <c r="S70" s="203"/>
      <c r="T70" s="203"/>
    </row>
    <row r="71" spans="1:20" s="204" customFormat="1" ht="12" customHeight="1">
      <c r="A71" s="196"/>
      <c r="B71" s="197"/>
      <c r="C71" s="136"/>
      <c r="D71" s="198"/>
      <c r="E71" s="199"/>
      <c r="F71" s="199"/>
      <c r="G71" s="200"/>
      <c r="H71" s="201"/>
      <c r="I71" s="201"/>
      <c r="J71" s="85"/>
      <c r="K71" s="85"/>
      <c r="L71" s="85"/>
      <c r="M71" s="85"/>
      <c r="N71" s="202"/>
      <c r="O71" s="203"/>
      <c r="P71" s="203"/>
      <c r="Q71" s="203"/>
      <c r="R71" s="203"/>
      <c r="S71" s="203"/>
      <c r="T71" s="203"/>
    </row>
    <row r="72" spans="1:20" s="204" customFormat="1" ht="29.25" customHeight="1">
      <c r="A72" s="196" t="s">
        <v>107</v>
      </c>
      <c r="B72" s="197">
        <v>122251102</v>
      </c>
      <c r="C72" s="136" t="s">
        <v>2123</v>
      </c>
      <c r="D72" s="198" t="s">
        <v>52</v>
      </c>
      <c r="E72" s="199">
        <f>SUM(D73)</f>
        <v>38.761399999999995</v>
      </c>
      <c r="F72" s="199"/>
      <c r="G72" s="200">
        <f>E72*F72</f>
        <v>0</v>
      </c>
      <c r="H72" s="201"/>
      <c r="I72" s="201"/>
      <c r="J72" s="85"/>
      <c r="K72" s="85"/>
      <c r="L72" s="85"/>
      <c r="M72" s="85"/>
      <c r="N72" s="202"/>
      <c r="O72" s="203"/>
      <c r="P72" s="203"/>
      <c r="Q72" s="203"/>
      <c r="R72" s="203"/>
      <c r="S72" s="203"/>
      <c r="T72" s="203"/>
    </row>
    <row r="73" spans="1:20" s="214" customFormat="1" ht="15" customHeight="1">
      <c r="A73" s="196"/>
      <c r="B73" s="205"/>
      <c r="C73" s="206" t="s">
        <v>2122</v>
      </c>
      <c r="D73" s="207">
        <f>64.5*0.15+(27.9+4.6*2)*0.7*1*1.12</f>
        <v>38.761399999999995</v>
      </c>
      <c r="E73" s="208"/>
      <c r="F73" s="208"/>
      <c r="G73" s="209"/>
      <c r="H73" s="210"/>
      <c r="I73" s="210"/>
      <c r="J73" s="211"/>
      <c r="K73" s="85"/>
      <c r="L73" s="211"/>
      <c r="M73" s="211"/>
      <c r="N73" s="212"/>
      <c r="O73" s="213"/>
      <c r="P73" s="213"/>
      <c r="Q73" s="213"/>
      <c r="R73" s="213"/>
      <c r="S73" s="213"/>
      <c r="T73" s="213"/>
    </row>
    <row r="74" spans="1:20" s="204" customFormat="1" ht="21" customHeight="1">
      <c r="A74" s="196" t="s">
        <v>1358</v>
      </c>
      <c r="B74" s="197">
        <v>167151101</v>
      </c>
      <c r="C74" s="136" t="s">
        <v>2115</v>
      </c>
      <c r="D74" s="198" t="s">
        <v>52</v>
      </c>
      <c r="E74" s="199">
        <f>E72</f>
        <v>38.761399999999995</v>
      </c>
      <c r="F74" s="199"/>
      <c r="G74" s="200">
        <f>E74*F74</f>
        <v>0</v>
      </c>
      <c r="H74" s="201"/>
      <c r="I74" s="201"/>
      <c r="J74" s="85"/>
      <c r="K74" s="85"/>
      <c r="L74" s="85"/>
      <c r="M74" s="85"/>
      <c r="N74" s="202"/>
      <c r="O74" s="203"/>
      <c r="P74" s="203"/>
      <c r="Q74" s="203"/>
      <c r="R74" s="203"/>
      <c r="S74" s="203"/>
      <c r="T74" s="203"/>
    </row>
    <row r="75" spans="1:62" s="204" customFormat="1" ht="29.25" customHeight="1">
      <c r="A75" s="196" t="s">
        <v>1359</v>
      </c>
      <c r="B75" s="197" t="s">
        <v>96</v>
      </c>
      <c r="C75" s="136" t="s">
        <v>97</v>
      </c>
      <c r="D75" s="198" t="s">
        <v>52</v>
      </c>
      <c r="E75" s="199">
        <f>E74</f>
        <v>38.761399999999995</v>
      </c>
      <c r="F75" s="199"/>
      <c r="G75" s="200">
        <f>E75*F75</f>
        <v>0</v>
      </c>
      <c r="H75" s="201"/>
      <c r="I75" s="201"/>
      <c r="J75" s="85"/>
      <c r="K75" s="85"/>
      <c r="L75" s="85"/>
      <c r="M75" s="85"/>
      <c r="N75" s="202"/>
      <c r="O75" s="203"/>
      <c r="P75" s="203"/>
      <c r="Q75" s="203"/>
      <c r="R75" s="203"/>
      <c r="S75" s="203"/>
      <c r="T75" s="203"/>
      <c r="AO75" s="204" t="s">
        <v>98</v>
      </c>
      <c r="AQ75" s="204" t="s">
        <v>99</v>
      </c>
      <c r="AR75" s="204" t="s">
        <v>100</v>
      </c>
      <c r="AV75" s="204" t="s">
        <v>101</v>
      </c>
      <c r="BB75" s="204">
        <f>IF(K75="základní",G75,0)</f>
        <v>0</v>
      </c>
      <c r="BC75" s="204">
        <f>IF(K75="snížená",G75,0)</f>
        <v>0</v>
      </c>
      <c r="BD75" s="204">
        <f>IF(K75="zákl. přenesená",G75,0)</f>
        <v>0</v>
      </c>
      <c r="BE75" s="204">
        <f>IF(K75="sníž. přenesená",G75,0)</f>
        <v>0</v>
      </c>
      <c r="BF75" s="204">
        <f>IF(K75="nulová",G75,0)</f>
        <v>0</v>
      </c>
      <c r="BG75" s="204" t="s">
        <v>43</v>
      </c>
      <c r="BH75" s="204">
        <f>ROUND(F75*E75,2)</f>
        <v>0</v>
      </c>
      <c r="BI75" s="204" t="s">
        <v>98</v>
      </c>
      <c r="BJ75" s="204" t="s">
        <v>102</v>
      </c>
    </row>
    <row r="76" spans="1:62" s="204" customFormat="1" ht="18" customHeight="1">
      <c r="A76" s="196" t="s">
        <v>1360</v>
      </c>
      <c r="B76" s="197" t="s">
        <v>104</v>
      </c>
      <c r="C76" s="136" t="s">
        <v>105</v>
      </c>
      <c r="D76" s="198" t="s">
        <v>52</v>
      </c>
      <c r="E76" s="199">
        <f>E75</f>
        <v>38.761399999999995</v>
      </c>
      <c r="F76" s="199"/>
      <c r="G76" s="200">
        <f>E76*F76</f>
        <v>0</v>
      </c>
      <c r="H76" s="201"/>
      <c r="I76" s="201"/>
      <c r="J76" s="85"/>
      <c r="K76" s="85"/>
      <c r="L76" s="85"/>
      <c r="M76" s="85"/>
      <c r="N76" s="202"/>
      <c r="O76" s="203"/>
      <c r="P76" s="203"/>
      <c r="Q76" s="203"/>
      <c r="R76" s="203"/>
      <c r="S76" s="203"/>
      <c r="T76" s="203"/>
      <c r="AO76" s="204" t="s">
        <v>98</v>
      </c>
      <c r="AQ76" s="204" t="s">
        <v>99</v>
      </c>
      <c r="AR76" s="204" t="s">
        <v>100</v>
      </c>
      <c r="AV76" s="204" t="s">
        <v>101</v>
      </c>
      <c r="BB76" s="204">
        <f>IF(K76="základní",G76,0)</f>
        <v>0</v>
      </c>
      <c r="BC76" s="204">
        <f>IF(K76="snížená",G76,0)</f>
        <v>0</v>
      </c>
      <c r="BD76" s="204">
        <f>IF(K76="zákl. přenesená",G76,0)</f>
        <v>0</v>
      </c>
      <c r="BE76" s="204">
        <f>IF(K76="sníž. přenesená",G76,0)</f>
        <v>0</v>
      </c>
      <c r="BF76" s="204">
        <f>IF(K76="nulová",G76,0)</f>
        <v>0</v>
      </c>
      <c r="BG76" s="204" t="s">
        <v>43</v>
      </c>
      <c r="BH76" s="204">
        <f>ROUND(F76*E76,2)</f>
        <v>0</v>
      </c>
      <c r="BI76" s="204" t="s">
        <v>98</v>
      </c>
      <c r="BJ76" s="204" t="s">
        <v>106</v>
      </c>
    </row>
    <row r="77" spans="1:62" s="204" customFormat="1" ht="29.25" customHeight="1">
      <c r="A77" s="196" t="s">
        <v>1361</v>
      </c>
      <c r="B77" s="197" t="s">
        <v>108</v>
      </c>
      <c r="C77" s="136" t="s">
        <v>1398</v>
      </c>
      <c r="D77" s="198" t="s">
        <v>73</v>
      </c>
      <c r="E77" s="199">
        <f>SUM(D78)</f>
        <v>77.52</v>
      </c>
      <c r="F77" s="199"/>
      <c r="G77" s="200">
        <f>E77*F77</f>
        <v>0</v>
      </c>
      <c r="H77" s="201"/>
      <c r="I77" s="201"/>
      <c r="J77" s="85"/>
      <c r="K77" s="85"/>
      <c r="L77" s="85"/>
      <c r="M77" s="85"/>
      <c r="N77" s="202"/>
      <c r="O77" s="203"/>
      <c r="P77" s="203"/>
      <c r="Q77" s="203"/>
      <c r="R77" s="203"/>
      <c r="S77" s="203"/>
      <c r="T77" s="203"/>
      <c r="AO77" s="204" t="s">
        <v>98</v>
      </c>
      <c r="AQ77" s="204" t="s">
        <v>99</v>
      </c>
      <c r="AR77" s="204" t="s">
        <v>100</v>
      </c>
      <c r="AV77" s="204" t="s">
        <v>101</v>
      </c>
      <c r="BB77" s="204">
        <f>IF(K77="základní",G77,0)</f>
        <v>0</v>
      </c>
      <c r="BC77" s="204">
        <f>IF(K77="snížená",G77,0)</f>
        <v>0</v>
      </c>
      <c r="BD77" s="204">
        <f>IF(K77="zákl. přenesená",G77,0)</f>
        <v>0</v>
      </c>
      <c r="BE77" s="204">
        <f>IF(K77="sníž. přenesená",G77,0)</f>
        <v>0</v>
      </c>
      <c r="BF77" s="204">
        <f>IF(K77="nulová",G77,0)</f>
        <v>0</v>
      </c>
      <c r="BG77" s="204" t="s">
        <v>43</v>
      </c>
      <c r="BH77" s="204">
        <f>ROUND(F77*E77,2)</f>
        <v>0</v>
      </c>
      <c r="BI77" s="204" t="s">
        <v>98</v>
      </c>
      <c r="BJ77" s="204" t="s">
        <v>109</v>
      </c>
    </row>
    <row r="78" spans="1:48" s="214" customFormat="1" ht="15" customHeight="1">
      <c r="A78" s="196"/>
      <c r="B78" s="205"/>
      <c r="C78" s="206" t="s">
        <v>2124</v>
      </c>
      <c r="D78" s="207">
        <f>38.76*2</f>
        <v>77.52</v>
      </c>
      <c r="E78" s="208"/>
      <c r="F78" s="208"/>
      <c r="G78" s="209"/>
      <c r="H78" s="210"/>
      <c r="I78" s="210"/>
      <c r="J78" s="211"/>
      <c r="K78" s="85"/>
      <c r="L78" s="211"/>
      <c r="M78" s="211"/>
      <c r="N78" s="212"/>
      <c r="O78" s="213"/>
      <c r="P78" s="213"/>
      <c r="Q78" s="213"/>
      <c r="R78" s="213"/>
      <c r="S78" s="213"/>
      <c r="T78" s="213"/>
      <c r="AQ78" s="214" t="s">
        <v>110</v>
      </c>
      <c r="AR78" s="214" t="s">
        <v>100</v>
      </c>
      <c r="AS78" s="214" t="s">
        <v>100</v>
      </c>
      <c r="AT78" s="214" t="s">
        <v>111</v>
      </c>
      <c r="AU78" s="214" t="s">
        <v>112</v>
      </c>
      <c r="AV78" s="214" t="s">
        <v>101</v>
      </c>
    </row>
    <row r="79" spans="1:7" ht="14" thickBot="1">
      <c r="A79" s="218"/>
      <c r="B79" s="412"/>
      <c r="C79" s="220"/>
      <c r="D79" s="221"/>
      <c r="E79" s="413"/>
      <c r="F79" s="414"/>
      <c r="G79" s="415"/>
    </row>
    <row r="80" spans="1:7" ht="19.5" customHeight="1">
      <c r="A80" s="225"/>
      <c r="B80" s="226"/>
      <c r="C80" s="227" t="s">
        <v>113</v>
      </c>
      <c r="D80" s="226"/>
      <c r="E80" s="416"/>
      <c r="F80" s="417"/>
      <c r="G80" s="230">
        <f>SUBTOTAL(9,G37:G79)</f>
        <v>0</v>
      </c>
    </row>
    <row r="81" spans="1:7" ht="13" thickBot="1">
      <c r="A81" s="179"/>
      <c r="B81" s="180"/>
      <c r="C81" s="180"/>
      <c r="D81" s="180"/>
      <c r="E81" s="180"/>
      <c r="F81" s="180"/>
      <c r="G81" s="396"/>
    </row>
    <row r="82" spans="1:7" ht="17.25" customHeight="1" thickBot="1">
      <c r="A82" s="182" t="s">
        <v>100</v>
      </c>
      <c r="B82" s="183"/>
      <c r="C82" s="184" t="s">
        <v>1185</v>
      </c>
      <c r="D82" s="397"/>
      <c r="E82" s="398"/>
      <c r="F82" s="187"/>
      <c r="G82" s="399"/>
    </row>
    <row r="83" spans="1:7" ht="12.75">
      <c r="A83" s="189"/>
      <c r="B83" s="400"/>
      <c r="C83" s="232"/>
      <c r="D83" s="233"/>
      <c r="E83" s="401"/>
      <c r="F83" s="402"/>
      <c r="G83" s="403"/>
    </row>
    <row r="84" spans="1:20" s="204" customFormat="1" ht="35.25" customHeight="1">
      <c r="A84" s="268" t="s">
        <v>115</v>
      </c>
      <c r="B84" s="197" t="s">
        <v>1404</v>
      </c>
      <c r="C84" s="136" t="s">
        <v>1405</v>
      </c>
      <c r="D84" s="198" t="s">
        <v>52</v>
      </c>
      <c r="E84" s="199">
        <f>65*0.15</f>
        <v>9.75</v>
      </c>
      <c r="F84" s="199"/>
      <c r="G84" s="240">
        <f>$E84*F84</f>
        <v>0</v>
      </c>
      <c r="H84" s="201">
        <v>2.16</v>
      </c>
      <c r="I84" s="242">
        <f>E84*H84</f>
        <v>21.060000000000002</v>
      </c>
      <c r="J84" s="243">
        <v>0</v>
      </c>
      <c r="K84" s="241">
        <f>E84*J84</f>
        <v>0</v>
      </c>
      <c r="L84" s="85"/>
      <c r="M84" s="85"/>
      <c r="N84" s="202"/>
      <c r="O84" s="203"/>
      <c r="P84" s="203"/>
      <c r="Q84" s="203"/>
      <c r="R84" s="203"/>
      <c r="S84" s="203"/>
      <c r="T84" s="203"/>
    </row>
    <row r="85" spans="1:20" s="204" customFormat="1" ht="29.25" customHeight="1">
      <c r="A85" s="268" t="s">
        <v>117</v>
      </c>
      <c r="B85" s="197" t="s">
        <v>1406</v>
      </c>
      <c r="C85" s="136" t="s">
        <v>1407</v>
      </c>
      <c r="D85" s="198" t="s">
        <v>46</v>
      </c>
      <c r="E85" s="199">
        <f>66.2*1.1</f>
        <v>72.82000000000001</v>
      </c>
      <c r="F85" s="199"/>
      <c r="G85" s="200">
        <f>E85*F85</f>
        <v>0</v>
      </c>
      <c r="H85" s="201">
        <v>0.0001</v>
      </c>
      <c r="I85" s="201">
        <f>E85*H85</f>
        <v>0.007282000000000001</v>
      </c>
      <c r="J85" s="85">
        <v>4E-05</v>
      </c>
      <c r="K85" s="85">
        <f>E85*J85</f>
        <v>0.0029128000000000005</v>
      </c>
      <c r="L85" s="85"/>
      <c r="M85" s="85"/>
      <c r="N85" s="202"/>
      <c r="O85" s="203"/>
      <c r="P85" s="203"/>
      <c r="Q85" s="203"/>
      <c r="R85" s="203"/>
      <c r="S85" s="203"/>
      <c r="T85" s="203"/>
    </row>
    <row r="86" spans="1:20" s="204" customFormat="1" ht="29.25" customHeight="1">
      <c r="A86" s="268" t="s">
        <v>119</v>
      </c>
      <c r="B86" s="197" t="s">
        <v>2081</v>
      </c>
      <c r="C86" s="136" t="s">
        <v>2082</v>
      </c>
      <c r="D86" s="198" t="s">
        <v>46</v>
      </c>
      <c r="E86" s="199">
        <f>E85*1.185+0.01</f>
        <v>86.30170000000001</v>
      </c>
      <c r="F86" s="199"/>
      <c r="G86" s="200">
        <f>E86*F86</f>
        <v>0</v>
      </c>
      <c r="H86" s="201">
        <v>0.0003555</v>
      </c>
      <c r="I86" s="201">
        <f>E86*H86</f>
        <v>0.030680254350000005</v>
      </c>
      <c r="J86" s="85">
        <v>4E-05</v>
      </c>
      <c r="K86" s="85">
        <f>E86*J86</f>
        <v>0.003452068000000001</v>
      </c>
      <c r="L86" s="85"/>
      <c r="M86" s="85"/>
      <c r="N86" s="202"/>
      <c r="O86" s="203"/>
      <c r="P86" s="203"/>
      <c r="Q86" s="203"/>
      <c r="R86" s="203"/>
      <c r="S86" s="203"/>
      <c r="T86" s="203"/>
    </row>
    <row r="87" spans="1:20" s="204" customFormat="1" ht="29.25" customHeight="1">
      <c r="A87" s="268" t="s">
        <v>295</v>
      </c>
      <c r="B87" s="778">
        <v>274313611</v>
      </c>
      <c r="C87" s="782" t="s">
        <v>2126</v>
      </c>
      <c r="D87" s="783" t="s">
        <v>52</v>
      </c>
      <c r="E87" s="739">
        <f>SUM(D88)</f>
        <v>6.003099999999999</v>
      </c>
      <c r="F87" s="739"/>
      <c r="G87" s="200">
        <f>E87*F87</f>
        <v>0</v>
      </c>
      <c r="H87" s="201">
        <v>2.25634</v>
      </c>
      <c r="I87" s="201">
        <f>E87*H87</f>
        <v>13.545034653999997</v>
      </c>
      <c r="J87" s="85">
        <v>0</v>
      </c>
      <c r="K87" s="85">
        <f>E87*J87</f>
        <v>0</v>
      </c>
      <c r="L87" s="85"/>
      <c r="M87" s="85"/>
      <c r="N87" s="202"/>
      <c r="O87" s="203"/>
      <c r="P87" s="203"/>
      <c r="Q87" s="203"/>
      <c r="R87" s="203"/>
      <c r="S87" s="203"/>
      <c r="T87" s="203"/>
    </row>
    <row r="88" spans="1:48" s="214" customFormat="1" ht="15" customHeight="1">
      <c r="A88" s="196"/>
      <c r="B88" s="205"/>
      <c r="C88" s="206" t="s">
        <v>2125</v>
      </c>
      <c r="D88" s="207">
        <f>(27.9+4.6*2)*0.7*0.23+0.03</f>
        <v>6.003099999999999</v>
      </c>
      <c r="E88" s="208"/>
      <c r="F88" s="208"/>
      <c r="G88" s="209"/>
      <c r="H88" s="210"/>
      <c r="I88" s="210"/>
      <c r="J88" s="211"/>
      <c r="K88" s="85"/>
      <c r="L88" s="211"/>
      <c r="M88" s="211"/>
      <c r="N88" s="212"/>
      <c r="O88" s="213"/>
      <c r="P88" s="213"/>
      <c r="Q88" s="213"/>
      <c r="R88" s="213"/>
      <c r="S88" s="213"/>
      <c r="T88" s="213"/>
      <c r="AQ88" s="214" t="s">
        <v>110</v>
      </c>
      <c r="AR88" s="214" t="s">
        <v>100</v>
      </c>
      <c r="AS88" s="214" t="s">
        <v>100</v>
      </c>
      <c r="AT88" s="214" t="s">
        <v>111</v>
      </c>
      <c r="AU88" s="214" t="s">
        <v>112</v>
      </c>
      <c r="AV88" s="214" t="s">
        <v>101</v>
      </c>
    </row>
    <row r="89" spans="1:20" s="204" customFormat="1" ht="29.25" customHeight="1">
      <c r="A89" s="268" t="s">
        <v>299</v>
      </c>
      <c r="B89" s="197" t="s">
        <v>2062</v>
      </c>
      <c r="C89" s="136" t="s">
        <v>2063</v>
      </c>
      <c r="D89" s="198" t="s">
        <v>46</v>
      </c>
      <c r="E89" s="739">
        <f>SUM(D90)</f>
        <v>22.299999999999994</v>
      </c>
      <c r="F89" s="199"/>
      <c r="G89" s="200">
        <f>E89*F89</f>
        <v>0</v>
      </c>
      <c r="H89" s="201">
        <v>0.9565</v>
      </c>
      <c r="I89" s="201">
        <f>E89*H89</f>
        <v>21.329949999999993</v>
      </c>
      <c r="J89" s="85">
        <v>4E-05</v>
      </c>
      <c r="K89" s="85">
        <f>E89*J89</f>
        <v>0.0008919999999999998</v>
      </c>
      <c r="L89" s="85"/>
      <c r="M89" s="85"/>
      <c r="N89" s="202"/>
      <c r="O89" s="203"/>
      <c r="P89" s="203"/>
      <c r="Q89" s="203"/>
      <c r="R89" s="203"/>
      <c r="S89" s="203"/>
      <c r="T89" s="203"/>
    </row>
    <row r="90" spans="1:48" s="214" customFormat="1" ht="15" customHeight="1">
      <c r="A90" s="196"/>
      <c r="B90" s="205"/>
      <c r="C90" s="206" t="s">
        <v>2127</v>
      </c>
      <c r="D90" s="207">
        <f>(27.9+4.6*2)*0.6+0.04</f>
        <v>22.299999999999994</v>
      </c>
      <c r="E90" s="208"/>
      <c r="F90" s="208"/>
      <c r="G90" s="209"/>
      <c r="H90" s="210"/>
      <c r="I90" s="210"/>
      <c r="J90" s="211"/>
      <c r="K90" s="85"/>
      <c r="L90" s="211"/>
      <c r="M90" s="211"/>
      <c r="N90" s="212"/>
      <c r="O90" s="213"/>
      <c r="P90" s="213"/>
      <c r="Q90" s="213"/>
      <c r="R90" s="213"/>
      <c r="S90" s="213"/>
      <c r="T90" s="213"/>
      <c r="AQ90" s="214" t="s">
        <v>110</v>
      </c>
      <c r="AR90" s="214" t="s">
        <v>100</v>
      </c>
      <c r="AS90" s="214" t="s">
        <v>100</v>
      </c>
      <c r="AT90" s="214" t="s">
        <v>111</v>
      </c>
      <c r="AU90" s="214" t="s">
        <v>112</v>
      </c>
      <c r="AV90" s="214" t="s">
        <v>101</v>
      </c>
    </row>
    <row r="91" spans="1:20" s="204" customFormat="1" ht="29.25" customHeight="1">
      <c r="A91" s="268" t="s">
        <v>301</v>
      </c>
      <c r="B91" s="197" t="s">
        <v>2064</v>
      </c>
      <c r="C91" s="136" t="s">
        <v>2065</v>
      </c>
      <c r="D91" s="198" t="s">
        <v>73</v>
      </c>
      <c r="E91" s="199">
        <f>SUM(D92)</f>
        <v>0.3338999999999999</v>
      </c>
      <c r="F91" s="199"/>
      <c r="G91" s="200">
        <f>E91*F91</f>
        <v>0</v>
      </c>
      <c r="H91" s="201">
        <v>1.0594</v>
      </c>
      <c r="I91" s="201">
        <f>E91*H91</f>
        <v>0.3537336599999999</v>
      </c>
      <c r="J91" s="85">
        <v>4E-05</v>
      </c>
      <c r="K91" s="85">
        <f>E91*J91</f>
        <v>1.3355999999999997E-05</v>
      </c>
      <c r="L91" s="85"/>
      <c r="M91" s="85"/>
      <c r="N91" s="202"/>
      <c r="O91" s="203"/>
      <c r="P91" s="203"/>
      <c r="Q91" s="203"/>
      <c r="R91" s="203"/>
      <c r="S91" s="203"/>
      <c r="T91" s="203"/>
    </row>
    <row r="92" spans="1:48" s="214" customFormat="1" ht="15" customHeight="1">
      <c r="A92" s="196"/>
      <c r="B92" s="205"/>
      <c r="C92" s="206" t="s">
        <v>2128</v>
      </c>
      <c r="D92" s="207">
        <f>(27.9+4.6*2)*0.6*0.015</f>
        <v>0.3338999999999999</v>
      </c>
      <c r="E92" s="208"/>
      <c r="F92" s="208"/>
      <c r="G92" s="209"/>
      <c r="H92" s="210"/>
      <c r="I92" s="210"/>
      <c r="J92" s="211"/>
      <c r="K92" s="85"/>
      <c r="L92" s="211"/>
      <c r="M92" s="211"/>
      <c r="N92" s="212"/>
      <c r="O92" s="213"/>
      <c r="P92" s="213"/>
      <c r="Q92" s="213"/>
      <c r="R92" s="213"/>
      <c r="S92" s="213"/>
      <c r="T92" s="213"/>
      <c r="AQ92" s="214" t="s">
        <v>110</v>
      </c>
      <c r="AR92" s="214" t="s">
        <v>100</v>
      </c>
      <c r="AS92" s="214" t="s">
        <v>100</v>
      </c>
      <c r="AT92" s="214" t="s">
        <v>111</v>
      </c>
      <c r="AU92" s="214" t="s">
        <v>112</v>
      </c>
      <c r="AV92" s="214" t="s">
        <v>101</v>
      </c>
    </row>
    <row r="93" spans="1:20" s="204" customFormat="1" ht="29.25" customHeight="1">
      <c r="A93" s="268" t="s">
        <v>304</v>
      </c>
      <c r="B93" s="197" t="s">
        <v>1404</v>
      </c>
      <c r="C93" s="136" t="s">
        <v>1405</v>
      </c>
      <c r="D93" s="198" t="s">
        <v>52</v>
      </c>
      <c r="E93" s="199">
        <f>SUM(D94)</f>
        <v>8.099999999999998</v>
      </c>
      <c r="F93" s="199"/>
      <c r="G93" s="200">
        <f>E93*F93</f>
        <v>0</v>
      </c>
      <c r="H93" s="201">
        <v>2.16</v>
      </c>
      <c r="I93" s="201">
        <f>E93*H93</f>
        <v>17.495999999999995</v>
      </c>
      <c r="J93" s="85">
        <v>4E-05</v>
      </c>
      <c r="K93" s="85">
        <f>E93*J93</f>
        <v>0.00032399999999999996</v>
      </c>
      <c r="L93" s="85"/>
      <c r="M93" s="85"/>
      <c r="N93" s="202"/>
      <c r="O93" s="203"/>
      <c r="P93" s="203"/>
      <c r="Q93" s="203"/>
      <c r="R93" s="203"/>
      <c r="S93" s="203"/>
      <c r="T93" s="203"/>
    </row>
    <row r="94" spans="1:48" s="214" customFormat="1" ht="15" customHeight="1">
      <c r="A94" s="196"/>
      <c r="B94" s="205"/>
      <c r="C94" s="206" t="s">
        <v>2151</v>
      </c>
      <c r="D94" s="207">
        <f>(23.5+12.8+17.5)*0.15+0.03</f>
        <v>8.099999999999998</v>
      </c>
      <c r="E94" s="208"/>
      <c r="F94" s="208"/>
      <c r="G94" s="209"/>
      <c r="H94" s="210"/>
      <c r="I94" s="210"/>
      <c r="J94" s="211"/>
      <c r="K94" s="85"/>
      <c r="L94" s="211"/>
      <c r="M94" s="211"/>
      <c r="N94" s="212"/>
      <c r="O94" s="213"/>
      <c r="P94" s="213"/>
      <c r="Q94" s="213"/>
      <c r="R94" s="213"/>
      <c r="S94" s="213"/>
      <c r="T94" s="213"/>
      <c r="AQ94" s="214" t="s">
        <v>110</v>
      </c>
      <c r="AR94" s="214" t="s">
        <v>100</v>
      </c>
      <c r="AS94" s="214" t="s">
        <v>100</v>
      </c>
      <c r="AT94" s="214" t="s">
        <v>111</v>
      </c>
      <c r="AU94" s="214" t="s">
        <v>112</v>
      </c>
      <c r="AV94" s="214" t="s">
        <v>101</v>
      </c>
    </row>
    <row r="95" spans="1:20" s="204" customFormat="1" ht="29.25" customHeight="1">
      <c r="A95" s="268" t="s">
        <v>307</v>
      </c>
      <c r="B95" s="197" t="s">
        <v>2060</v>
      </c>
      <c r="C95" s="136" t="s">
        <v>2129</v>
      </c>
      <c r="D95" s="198" t="s">
        <v>52</v>
      </c>
      <c r="E95" s="199">
        <f>SUM(D96)</f>
        <v>5.3999999999999995</v>
      </c>
      <c r="F95" s="199"/>
      <c r="G95" s="200">
        <f aca="true" t="shared" si="3" ref="G95:G102">E95*F95</f>
        <v>0</v>
      </c>
      <c r="H95" s="201">
        <v>0.04061412</v>
      </c>
      <c r="I95" s="201">
        <f aca="true" t="shared" si="4" ref="I95:I102">E95*H95</f>
        <v>0.21931624799999996</v>
      </c>
      <c r="J95" s="85">
        <v>4E-05</v>
      </c>
      <c r="K95" s="85">
        <f aca="true" t="shared" si="5" ref="K95:K102">E95*J95</f>
        <v>0.000216</v>
      </c>
      <c r="L95" s="85"/>
      <c r="M95" s="85"/>
      <c r="N95" s="202"/>
      <c r="O95" s="203"/>
      <c r="P95" s="203"/>
      <c r="Q95" s="203"/>
      <c r="R95" s="203"/>
      <c r="S95" s="203"/>
      <c r="T95" s="203"/>
    </row>
    <row r="96" spans="1:48" s="214" customFormat="1" ht="15" customHeight="1">
      <c r="A96" s="196"/>
      <c r="B96" s="205"/>
      <c r="C96" s="206" t="s">
        <v>2130</v>
      </c>
      <c r="D96" s="207">
        <f>(23.5+12.8+17.5)*0.1+0.02</f>
        <v>5.3999999999999995</v>
      </c>
      <c r="E96" s="208"/>
      <c r="F96" s="208"/>
      <c r="G96" s="209"/>
      <c r="H96" s="210"/>
      <c r="I96" s="210"/>
      <c r="J96" s="211"/>
      <c r="K96" s="85"/>
      <c r="L96" s="211"/>
      <c r="M96" s="211"/>
      <c r="N96" s="212"/>
      <c r="O96" s="213"/>
      <c r="P96" s="213"/>
      <c r="Q96" s="213"/>
      <c r="R96" s="213"/>
      <c r="S96" s="213"/>
      <c r="T96" s="213"/>
      <c r="AQ96" s="214" t="s">
        <v>110</v>
      </c>
      <c r="AR96" s="214" t="s">
        <v>100</v>
      </c>
      <c r="AS96" s="214" t="s">
        <v>100</v>
      </c>
      <c r="AT96" s="214" t="s">
        <v>111</v>
      </c>
      <c r="AU96" s="214" t="s">
        <v>112</v>
      </c>
      <c r="AV96" s="214" t="s">
        <v>101</v>
      </c>
    </row>
    <row r="97" spans="1:20" s="204" customFormat="1" ht="29.25" customHeight="1">
      <c r="A97" s="268" t="s">
        <v>310</v>
      </c>
      <c r="B97" s="197" t="s">
        <v>1410</v>
      </c>
      <c r="C97" s="136" t="s">
        <v>2061</v>
      </c>
      <c r="D97" s="198" t="s">
        <v>52</v>
      </c>
      <c r="E97" s="199">
        <f>SUM(D98)</f>
        <v>6.620000000000001</v>
      </c>
      <c r="F97" s="199"/>
      <c r="G97" s="200">
        <f t="shared" si="3"/>
        <v>0</v>
      </c>
      <c r="H97" s="201">
        <v>2.45329</v>
      </c>
      <c r="I97" s="201">
        <f t="shared" si="4"/>
        <v>16.240779800000002</v>
      </c>
      <c r="J97" s="85">
        <v>4E-05</v>
      </c>
      <c r="K97" s="85">
        <f t="shared" si="5"/>
        <v>0.00026480000000000004</v>
      </c>
      <c r="L97" s="85"/>
      <c r="M97" s="85"/>
      <c r="N97" s="202"/>
      <c r="O97" s="203"/>
      <c r="P97" s="203"/>
      <c r="Q97" s="203"/>
      <c r="R97" s="203"/>
      <c r="S97" s="203"/>
      <c r="T97" s="203"/>
    </row>
    <row r="98" spans="1:48" s="214" customFormat="1" ht="15" customHeight="1">
      <c r="A98" s="196"/>
      <c r="B98" s="205"/>
      <c r="C98" s="206" t="s">
        <v>2132</v>
      </c>
      <c r="D98" s="207">
        <f>(66.2)*0.1</f>
        <v>6.620000000000001</v>
      </c>
      <c r="E98" s="208"/>
      <c r="F98" s="208"/>
      <c r="G98" s="209"/>
      <c r="H98" s="210"/>
      <c r="I98" s="210"/>
      <c r="J98" s="211"/>
      <c r="K98" s="85"/>
      <c r="L98" s="211"/>
      <c r="M98" s="211"/>
      <c r="N98" s="212"/>
      <c r="O98" s="213"/>
      <c r="P98" s="213"/>
      <c r="Q98" s="213"/>
      <c r="R98" s="213"/>
      <c r="S98" s="213"/>
      <c r="T98" s="213"/>
      <c r="AQ98" s="214" t="s">
        <v>110</v>
      </c>
      <c r="AR98" s="214" t="s">
        <v>100</v>
      </c>
      <c r="AS98" s="214" t="s">
        <v>100</v>
      </c>
      <c r="AT98" s="214" t="s">
        <v>111</v>
      </c>
      <c r="AU98" s="214" t="s">
        <v>112</v>
      </c>
      <c r="AV98" s="214" t="s">
        <v>101</v>
      </c>
    </row>
    <row r="99" spans="1:20" s="204" customFormat="1" ht="19.5" customHeight="1">
      <c r="A99" s="268" t="s">
        <v>311</v>
      </c>
      <c r="B99" s="197" t="s">
        <v>1179</v>
      </c>
      <c r="C99" s="136" t="s">
        <v>1180</v>
      </c>
      <c r="D99" s="198" t="s">
        <v>46</v>
      </c>
      <c r="E99" s="199">
        <f>SUM(D100)</f>
        <v>3.58</v>
      </c>
      <c r="F99" s="199"/>
      <c r="G99" s="200">
        <f t="shared" si="3"/>
        <v>0</v>
      </c>
      <c r="H99" s="201">
        <v>0.00247</v>
      </c>
      <c r="I99" s="201">
        <f t="shared" si="4"/>
        <v>0.0088426</v>
      </c>
      <c r="J99" s="85">
        <v>4E-05</v>
      </c>
      <c r="K99" s="85">
        <f t="shared" si="5"/>
        <v>0.0001432</v>
      </c>
      <c r="L99" s="85"/>
      <c r="M99" s="85"/>
      <c r="N99" s="202"/>
      <c r="O99" s="203"/>
      <c r="P99" s="203"/>
      <c r="Q99" s="203"/>
      <c r="R99" s="203"/>
      <c r="S99" s="203"/>
      <c r="T99" s="203"/>
    </row>
    <row r="100" spans="1:48" s="214" customFormat="1" ht="15" customHeight="1">
      <c r="A100" s="196"/>
      <c r="B100" s="205"/>
      <c r="C100" s="206" t="s">
        <v>2133</v>
      </c>
      <c r="D100" s="207">
        <f>(35.8)*0.1</f>
        <v>3.58</v>
      </c>
      <c r="E100" s="208"/>
      <c r="F100" s="208"/>
      <c r="G100" s="209"/>
      <c r="H100" s="210"/>
      <c r="I100" s="210"/>
      <c r="J100" s="211"/>
      <c r="K100" s="85"/>
      <c r="L100" s="211"/>
      <c r="M100" s="211"/>
      <c r="N100" s="212"/>
      <c r="O100" s="213"/>
      <c r="P100" s="213"/>
      <c r="Q100" s="213"/>
      <c r="R100" s="213"/>
      <c r="S100" s="213"/>
      <c r="T100" s="213"/>
      <c r="AQ100" s="214" t="s">
        <v>110</v>
      </c>
      <c r="AR100" s="214" t="s">
        <v>100</v>
      </c>
      <c r="AS100" s="214" t="s">
        <v>100</v>
      </c>
      <c r="AT100" s="214" t="s">
        <v>111</v>
      </c>
      <c r="AU100" s="214" t="s">
        <v>112</v>
      </c>
      <c r="AV100" s="214" t="s">
        <v>101</v>
      </c>
    </row>
    <row r="101" spans="1:20" s="204" customFormat="1" ht="29.25" customHeight="1">
      <c r="A101" s="268" t="s">
        <v>312</v>
      </c>
      <c r="B101" s="197" t="s">
        <v>1181</v>
      </c>
      <c r="C101" s="136" t="s">
        <v>1182</v>
      </c>
      <c r="D101" s="198" t="s">
        <v>46</v>
      </c>
      <c r="E101" s="199">
        <f>E99</f>
        <v>3.58</v>
      </c>
      <c r="F101" s="199"/>
      <c r="G101" s="200">
        <f t="shared" si="3"/>
        <v>0</v>
      </c>
      <c r="H101" s="201">
        <v>0</v>
      </c>
      <c r="I101" s="201">
        <f t="shared" si="4"/>
        <v>0</v>
      </c>
      <c r="J101" s="85">
        <v>4E-05</v>
      </c>
      <c r="K101" s="85">
        <f t="shared" si="5"/>
        <v>0.0001432</v>
      </c>
      <c r="L101" s="85"/>
      <c r="M101" s="85"/>
      <c r="N101" s="202"/>
      <c r="O101" s="203"/>
      <c r="P101" s="203"/>
      <c r="Q101" s="203"/>
      <c r="R101" s="203"/>
      <c r="S101" s="203"/>
      <c r="T101" s="203"/>
    </row>
    <row r="102" spans="1:20" s="204" customFormat="1" ht="29.25" customHeight="1">
      <c r="A102" s="268" t="s">
        <v>313</v>
      </c>
      <c r="B102" s="197" t="s">
        <v>1183</v>
      </c>
      <c r="C102" s="136" t="s">
        <v>1184</v>
      </c>
      <c r="D102" s="198" t="s">
        <v>73</v>
      </c>
      <c r="E102" s="199">
        <f>SUM(D103)</f>
        <v>0.5067959999999999</v>
      </c>
      <c r="F102" s="199"/>
      <c r="G102" s="200">
        <f t="shared" si="3"/>
        <v>0</v>
      </c>
      <c r="H102" s="201">
        <v>1.06277</v>
      </c>
      <c r="I102" s="201">
        <f t="shared" si="4"/>
        <v>0.5386075849199999</v>
      </c>
      <c r="J102" s="85">
        <v>4E-05</v>
      </c>
      <c r="K102" s="85">
        <f t="shared" si="5"/>
        <v>2.0271839999999997E-05</v>
      </c>
      <c r="L102" s="85"/>
      <c r="M102" s="85"/>
      <c r="N102" s="202"/>
      <c r="O102" s="203"/>
      <c r="P102" s="203"/>
      <c r="Q102" s="203"/>
      <c r="R102" s="203"/>
      <c r="S102" s="203"/>
      <c r="T102" s="203"/>
    </row>
    <row r="103" spans="1:48" s="214" customFormat="1" ht="15" customHeight="1">
      <c r="A103" s="196"/>
      <c r="B103" s="205"/>
      <c r="C103" s="206" t="s">
        <v>2131</v>
      </c>
      <c r="D103" s="207">
        <f>(23.5+12.8+17.5)*7.85*1.2*0.001</f>
        <v>0.5067959999999999</v>
      </c>
      <c r="E103" s="208"/>
      <c r="F103" s="208"/>
      <c r="G103" s="209"/>
      <c r="H103" s="210"/>
      <c r="I103" s="210"/>
      <c r="J103" s="211"/>
      <c r="K103" s="85"/>
      <c r="L103" s="211"/>
      <c r="M103" s="211"/>
      <c r="N103" s="212"/>
      <c r="O103" s="213"/>
      <c r="P103" s="213"/>
      <c r="Q103" s="213"/>
      <c r="R103" s="213"/>
      <c r="S103" s="213"/>
      <c r="T103" s="213"/>
      <c r="AQ103" s="214" t="s">
        <v>110</v>
      </c>
      <c r="AR103" s="214" t="s">
        <v>100</v>
      </c>
      <c r="AS103" s="214" t="s">
        <v>100</v>
      </c>
      <c r="AT103" s="214" t="s">
        <v>111</v>
      </c>
      <c r="AU103" s="214" t="s">
        <v>112</v>
      </c>
      <c r="AV103" s="214" t="s">
        <v>101</v>
      </c>
    </row>
    <row r="104" spans="1:20" s="204" customFormat="1" ht="17.25" customHeight="1">
      <c r="A104" s="196"/>
      <c r="B104" s="197"/>
      <c r="C104" s="136"/>
      <c r="D104" s="198"/>
      <c r="E104" s="199"/>
      <c r="F104" s="199"/>
      <c r="G104" s="200"/>
      <c r="H104" s="201"/>
      <c r="I104" s="201"/>
      <c r="J104" s="85"/>
      <c r="K104" s="85"/>
      <c r="L104" s="85"/>
      <c r="M104" s="85"/>
      <c r="N104" s="202"/>
      <c r="O104" s="203"/>
      <c r="P104" s="203"/>
      <c r="Q104" s="203"/>
      <c r="R104" s="203"/>
      <c r="S104" s="203"/>
      <c r="T104" s="203"/>
    </row>
    <row r="105" spans="1:20" s="204" customFormat="1" ht="24" customHeight="1">
      <c r="A105" s="268" t="s">
        <v>314</v>
      </c>
      <c r="B105" s="197" t="s">
        <v>1437</v>
      </c>
      <c r="C105" s="136" t="s">
        <v>1436</v>
      </c>
      <c r="D105" s="198" t="s">
        <v>46</v>
      </c>
      <c r="E105" s="199">
        <v>66.2</v>
      </c>
      <c r="F105" s="199"/>
      <c r="G105" s="200">
        <f>E105*F105</f>
        <v>0</v>
      </c>
      <c r="H105" s="201">
        <v>0</v>
      </c>
      <c r="I105" s="201">
        <f>E105*H105</f>
        <v>0</v>
      </c>
      <c r="J105" s="85">
        <v>0</v>
      </c>
      <c r="K105" s="85">
        <f>E105*J105</f>
        <v>0</v>
      </c>
      <c r="L105" s="85"/>
      <c r="M105" s="85"/>
      <c r="N105" s="202"/>
      <c r="O105" s="203"/>
      <c r="P105" s="203"/>
      <c r="Q105" s="203"/>
      <c r="R105" s="203"/>
      <c r="S105" s="203"/>
      <c r="T105" s="203"/>
    </row>
    <row r="106" spans="1:20" s="596" customFormat="1" ht="30.75" customHeight="1">
      <c r="A106" s="268" t="s">
        <v>315</v>
      </c>
      <c r="B106" s="663">
        <v>711191101</v>
      </c>
      <c r="C106" s="666" t="s">
        <v>2150</v>
      </c>
      <c r="D106" s="664" t="s">
        <v>46</v>
      </c>
      <c r="E106" s="665">
        <v>66.2</v>
      </c>
      <c r="F106" s="665"/>
      <c r="G106" s="200">
        <f>E106*F106</f>
        <v>0</v>
      </c>
      <c r="H106" s="201">
        <v>0</v>
      </c>
      <c r="I106" s="242">
        <f>E106*H106</f>
        <v>0</v>
      </c>
      <c r="J106" s="243">
        <v>0</v>
      </c>
      <c r="K106" s="241">
        <f>E106*J106</f>
        <v>0</v>
      </c>
      <c r="L106" s="593"/>
      <c r="M106" s="593"/>
      <c r="N106" s="594"/>
      <c r="O106" s="595"/>
      <c r="P106" s="595"/>
      <c r="Q106" s="595"/>
      <c r="R106" s="595"/>
      <c r="S106" s="595"/>
      <c r="T106" s="595"/>
    </row>
    <row r="107" spans="1:20" s="204" customFormat="1" ht="30.75" customHeight="1">
      <c r="A107" s="268" t="s">
        <v>316</v>
      </c>
      <c r="B107" s="663" t="s">
        <v>179</v>
      </c>
      <c r="C107" s="666" t="s">
        <v>1421</v>
      </c>
      <c r="D107" s="664" t="s">
        <v>46</v>
      </c>
      <c r="E107" s="665">
        <v>66.2</v>
      </c>
      <c r="F107" s="665"/>
      <c r="G107" s="200">
        <f>E107*F107</f>
        <v>0</v>
      </c>
      <c r="H107" s="201">
        <v>0</v>
      </c>
      <c r="I107" s="242">
        <f>E107*H107</f>
        <v>0</v>
      </c>
      <c r="J107" s="243">
        <v>0</v>
      </c>
      <c r="K107" s="241">
        <f>E107*J107</f>
        <v>0</v>
      </c>
      <c r="L107" s="85"/>
      <c r="M107" s="85"/>
      <c r="N107" s="202"/>
      <c r="O107" s="203"/>
      <c r="P107" s="203"/>
      <c r="Q107" s="203"/>
      <c r="R107" s="203"/>
      <c r="S107" s="203"/>
      <c r="T107" s="203"/>
    </row>
    <row r="108" spans="1:20" s="204" customFormat="1" ht="30.75" customHeight="1">
      <c r="A108" s="268" t="s">
        <v>317</v>
      </c>
      <c r="B108" s="663" t="s">
        <v>1417</v>
      </c>
      <c r="C108" s="666" t="s">
        <v>1482</v>
      </c>
      <c r="D108" s="664" t="s">
        <v>181</v>
      </c>
      <c r="E108" s="665">
        <f>E107*2.5</f>
        <v>165.5</v>
      </c>
      <c r="F108" s="665"/>
      <c r="G108" s="200">
        <f>E108*F108</f>
        <v>0</v>
      </c>
      <c r="H108" s="201">
        <v>0</v>
      </c>
      <c r="I108" s="242">
        <f>E108*H108</f>
        <v>0</v>
      </c>
      <c r="J108" s="243">
        <v>0</v>
      </c>
      <c r="K108" s="241">
        <f>E108*J108</f>
        <v>0</v>
      </c>
      <c r="L108" s="85"/>
      <c r="M108" s="85"/>
      <c r="N108" s="202"/>
      <c r="O108" s="203"/>
      <c r="P108" s="203"/>
      <c r="Q108" s="203"/>
      <c r="R108" s="203"/>
      <c r="S108" s="203"/>
      <c r="T108" s="203"/>
    </row>
    <row r="109" spans="1:7" ht="14" thickBot="1">
      <c r="A109" s="218"/>
      <c r="B109" s="412"/>
      <c r="C109" s="220"/>
      <c r="D109" s="221"/>
      <c r="E109" s="413"/>
      <c r="F109" s="414"/>
      <c r="G109" s="415"/>
    </row>
    <row r="110" spans="1:7" ht="13" thickBot="1">
      <c r="A110" s="225"/>
      <c r="B110" s="226"/>
      <c r="C110" s="227" t="s">
        <v>113</v>
      </c>
      <c r="D110" s="226"/>
      <c r="E110" s="416"/>
      <c r="F110" s="417"/>
      <c r="G110" s="230">
        <f>SUBTOTAL(9,G83:G109)</f>
        <v>0</v>
      </c>
    </row>
    <row r="111" spans="1:7" ht="13" thickBot="1">
      <c r="A111" s="179"/>
      <c r="B111" s="180"/>
      <c r="C111" s="180"/>
      <c r="D111" s="180"/>
      <c r="E111" s="180"/>
      <c r="F111" s="180"/>
      <c r="G111" s="396"/>
    </row>
    <row r="112" spans="1:7" ht="17.25" customHeight="1" thickBot="1">
      <c r="A112" s="182" t="s">
        <v>121</v>
      </c>
      <c r="B112" s="183"/>
      <c r="C112" s="184" t="s">
        <v>114</v>
      </c>
      <c r="D112" s="397"/>
      <c r="E112" s="398"/>
      <c r="F112" s="187"/>
      <c r="G112" s="399"/>
    </row>
    <row r="113" spans="1:7" ht="12.75">
      <c r="A113" s="189"/>
      <c r="B113" s="400"/>
      <c r="C113" s="232"/>
      <c r="D113" s="233"/>
      <c r="E113" s="401"/>
      <c r="F113" s="402"/>
      <c r="G113" s="403"/>
    </row>
    <row r="114" spans="1:20" s="204" customFormat="1" ht="29.25" customHeight="1">
      <c r="A114" s="196" t="s">
        <v>123</v>
      </c>
      <c r="B114" s="197" t="s">
        <v>2066</v>
      </c>
      <c r="C114" s="136" t="s">
        <v>2067</v>
      </c>
      <c r="D114" s="198" t="s">
        <v>46</v>
      </c>
      <c r="E114" s="199">
        <f>SUM(D115)</f>
        <v>139.5</v>
      </c>
      <c r="F114" s="199"/>
      <c r="G114" s="200">
        <f>E114*F114</f>
        <v>0</v>
      </c>
      <c r="H114" s="201">
        <v>0.16632</v>
      </c>
      <c r="I114" s="201">
        <f>E114*H114</f>
        <v>23.20164</v>
      </c>
      <c r="J114" s="85">
        <v>0</v>
      </c>
      <c r="K114" s="85">
        <f>E114*J114</f>
        <v>0</v>
      </c>
      <c r="L114" s="85"/>
      <c r="M114" s="85"/>
      <c r="N114" s="202"/>
      <c r="O114" s="203"/>
      <c r="P114" s="203"/>
      <c r="Q114" s="203"/>
      <c r="R114" s="203"/>
      <c r="S114" s="203"/>
      <c r="T114" s="203"/>
    </row>
    <row r="115" spans="1:48" s="214" customFormat="1" ht="15" customHeight="1">
      <c r="A115" s="196"/>
      <c r="B115" s="205"/>
      <c r="C115" s="206" t="s">
        <v>2134</v>
      </c>
      <c r="D115" s="207">
        <f>53+36.2+18+18+14.3</f>
        <v>139.5</v>
      </c>
      <c r="E115" s="208"/>
      <c r="F115" s="208"/>
      <c r="G115" s="209"/>
      <c r="H115" s="210"/>
      <c r="I115" s="210"/>
      <c r="J115" s="211"/>
      <c r="K115" s="85"/>
      <c r="L115" s="211"/>
      <c r="M115" s="211"/>
      <c r="N115" s="212"/>
      <c r="O115" s="213"/>
      <c r="P115" s="213"/>
      <c r="Q115" s="213"/>
      <c r="R115" s="213"/>
      <c r="S115" s="213"/>
      <c r="T115" s="213"/>
      <c r="AQ115" s="214" t="s">
        <v>110</v>
      </c>
      <c r="AR115" s="214" t="s">
        <v>100</v>
      </c>
      <c r="AS115" s="214" t="s">
        <v>100</v>
      </c>
      <c r="AT115" s="214" t="s">
        <v>111</v>
      </c>
      <c r="AU115" s="214" t="s">
        <v>112</v>
      </c>
      <c r="AV115" s="214" t="s">
        <v>101</v>
      </c>
    </row>
    <row r="116" spans="1:20" s="204" customFormat="1" ht="22.5" customHeight="1">
      <c r="A116" s="196" t="s">
        <v>124</v>
      </c>
      <c r="B116" s="197" t="s">
        <v>2068</v>
      </c>
      <c r="C116" s="136" t="s">
        <v>2069</v>
      </c>
      <c r="D116" s="198" t="s">
        <v>175</v>
      </c>
      <c r="E116" s="199">
        <v>2</v>
      </c>
      <c r="F116" s="199"/>
      <c r="G116" s="200">
        <f aca="true" t="shared" si="6" ref="G116:G125">E116*F116</f>
        <v>0</v>
      </c>
      <c r="H116" s="201">
        <v>0.08131</v>
      </c>
      <c r="I116" s="201">
        <f>E116*H116</f>
        <v>0.16262</v>
      </c>
      <c r="J116" s="85">
        <v>0</v>
      </c>
      <c r="K116" s="85">
        <f>E116*J116</f>
        <v>0</v>
      </c>
      <c r="L116" s="85"/>
      <c r="M116" s="85"/>
      <c r="N116" s="202"/>
      <c r="O116" s="203"/>
      <c r="P116" s="203"/>
      <c r="Q116" s="203"/>
      <c r="R116" s="203"/>
      <c r="S116" s="203"/>
      <c r="T116" s="203"/>
    </row>
    <row r="117" spans="1:20" s="204" customFormat="1" ht="22.5" customHeight="1">
      <c r="A117" s="196" t="s">
        <v>125</v>
      </c>
      <c r="B117" s="197">
        <v>317143452</v>
      </c>
      <c r="C117" s="136" t="s">
        <v>2136</v>
      </c>
      <c r="D117" s="198" t="s">
        <v>175</v>
      </c>
      <c r="E117" s="199">
        <v>1</v>
      </c>
      <c r="F117" s="199"/>
      <c r="G117" s="200">
        <f t="shared" si="6"/>
        <v>0</v>
      </c>
      <c r="H117" s="201">
        <v>0.09431</v>
      </c>
      <c r="I117" s="201">
        <f aca="true" t="shared" si="7" ref="I117:I125">E117*H117</f>
        <v>0.09431</v>
      </c>
      <c r="J117" s="85">
        <v>4E-05</v>
      </c>
      <c r="K117" s="85">
        <f aca="true" t="shared" si="8" ref="K117:K125">E117*J117</f>
        <v>4E-05</v>
      </c>
      <c r="L117" s="85"/>
      <c r="M117" s="85"/>
      <c r="N117" s="202"/>
      <c r="O117" s="203"/>
      <c r="P117" s="203"/>
      <c r="Q117" s="203"/>
      <c r="R117" s="203"/>
      <c r="S117" s="203"/>
      <c r="T117" s="203"/>
    </row>
    <row r="118" spans="1:20" s="204" customFormat="1" ht="22.5" customHeight="1">
      <c r="A118" s="196" t="s">
        <v>126</v>
      </c>
      <c r="B118" s="197" t="s">
        <v>2070</v>
      </c>
      <c r="C118" s="136" t="s">
        <v>2071</v>
      </c>
      <c r="D118" s="198" t="s">
        <v>175</v>
      </c>
      <c r="E118" s="199">
        <v>1</v>
      </c>
      <c r="F118" s="199"/>
      <c r="G118" s="200">
        <f t="shared" si="6"/>
        <v>0</v>
      </c>
      <c r="H118" s="201">
        <v>0.12539</v>
      </c>
      <c r="I118" s="201">
        <f t="shared" si="7"/>
        <v>0.12539</v>
      </c>
      <c r="J118" s="85">
        <v>4E-05</v>
      </c>
      <c r="K118" s="85">
        <f t="shared" si="8"/>
        <v>4E-05</v>
      </c>
      <c r="L118" s="85"/>
      <c r="M118" s="85"/>
      <c r="N118" s="202"/>
      <c r="O118" s="203"/>
      <c r="P118" s="203"/>
      <c r="Q118" s="203"/>
      <c r="R118" s="203"/>
      <c r="S118" s="203"/>
      <c r="T118" s="203"/>
    </row>
    <row r="119" spans="1:20" s="204" customFormat="1" ht="21" customHeight="1">
      <c r="A119" s="196" t="s">
        <v>127</v>
      </c>
      <c r="B119" s="197" t="s">
        <v>2072</v>
      </c>
      <c r="C119" s="136" t="s">
        <v>2135</v>
      </c>
      <c r="D119" s="198" t="s">
        <v>175</v>
      </c>
      <c r="E119" s="199">
        <v>1</v>
      </c>
      <c r="F119" s="199"/>
      <c r="G119" s="200">
        <f t="shared" si="6"/>
        <v>0</v>
      </c>
      <c r="H119" s="201">
        <v>0.15339</v>
      </c>
      <c r="I119" s="201">
        <f t="shared" si="7"/>
        <v>0.15339</v>
      </c>
      <c r="J119" s="85">
        <v>4E-05</v>
      </c>
      <c r="K119" s="85">
        <f t="shared" si="8"/>
        <v>4E-05</v>
      </c>
      <c r="L119" s="85"/>
      <c r="M119" s="85"/>
      <c r="N119" s="202"/>
      <c r="O119" s="203"/>
      <c r="P119" s="203"/>
      <c r="Q119" s="203"/>
      <c r="R119" s="203"/>
      <c r="S119" s="203"/>
      <c r="T119" s="203"/>
    </row>
    <row r="120" spans="1:20" s="204" customFormat="1" ht="16.5" customHeight="1">
      <c r="A120" s="196"/>
      <c r="B120" s="197"/>
      <c r="C120" s="136"/>
      <c r="D120" s="198"/>
      <c r="E120" s="199"/>
      <c r="F120" s="199"/>
      <c r="G120" s="200"/>
      <c r="H120" s="201">
        <v>0.00082</v>
      </c>
      <c r="I120" s="201">
        <f t="shared" si="7"/>
        <v>0</v>
      </c>
      <c r="J120" s="85">
        <v>4E-05</v>
      </c>
      <c r="K120" s="85">
        <f t="shared" si="8"/>
        <v>0</v>
      </c>
      <c r="L120" s="85"/>
      <c r="M120" s="85"/>
      <c r="N120" s="202"/>
      <c r="O120" s="203"/>
      <c r="P120" s="203"/>
      <c r="Q120" s="203"/>
      <c r="R120" s="203"/>
      <c r="S120" s="203"/>
      <c r="T120" s="203"/>
    </row>
    <row r="121" spans="1:20" s="204" customFormat="1" ht="16.5" customHeight="1">
      <c r="A121" s="196" t="s">
        <v>128</v>
      </c>
      <c r="B121" s="197">
        <v>311321511</v>
      </c>
      <c r="C121" s="136" t="s">
        <v>2137</v>
      </c>
      <c r="D121" s="198" t="s">
        <v>52</v>
      </c>
      <c r="E121" s="199">
        <f>SUM(D122)</f>
        <v>1.41</v>
      </c>
      <c r="F121" s="199"/>
      <c r="G121" s="200">
        <f t="shared" si="6"/>
        <v>0</v>
      </c>
      <c r="H121" s="201">
        <v>2.45329</v>
      </c>
      <c r="I121" s="201">
        <f t="shared" si="7"/>
        <v>3.4591388999999997</v>
      </c>
      <c r="J121" s="85">
        <v>0</v>
      </c>
      <c r="K121" s="85">
        <f t="shared" si="8"/>
        <v>0</v>
      </c>
      <c r="L121" s="85"/>
      <c r="M121" s="85"/>
      <c r="N121" s="202"/>
      <c r="O121" s="203"/>
      <c r="P121" s="203"/>
      <c r="Q121" s="203"/>
      <c r="R121" s="203"/>
      <c r="S121" s="203"/>
      <c r="T121" s="203"/>
    </row>
    <row r="122" spans="1:48" s="214" customFormat="1" ht="15" customHeight="1">
      <c r="A122" s="196"/>
      <c r="B122" s="205"/>
      <c r="C122" s="206" t="s">
        <v>2138</v>
      </c>
      <c r="D122" s="207">
        <f>4.7*0.3</f>
        <v>1.41</v>
      </c>
      <c r="E122" s="208"/>
      <c r="F122" s="208"/>
      <c r="G122" s="209"/>
      <c r="H122" s="210"/>
      <c r="I122" s="210"/>
      <c r="J122" s="211"/>
      <c r="K122" s="85"/>
      <c r="L122" s="211"/>
      <c r="M122" s="211"/>
      <c r="N122" s="212"/>
      <c r="O122" s="213"/>
      <c r="P122" s="213"/>
      <c r="Q122" s="213"/>
      <c r="R122" s="213"/>
      <c r="S122" s="213"/>
      <c r="T122" s="213"/>
      <c r="AQ122" s="214" t="s">
        <v>110</v>
      </c>
      <c r="AR122" s="214" t="s">
        <v>100</v>
      </c>
      <c r="AS122" s="214" t="s">
        <v>100</v>
      </c>
      <c r="AT122" s="214" t="s">
        <v>111</v>
      </c>
      <c r="AU122" s="214" t="s">
        <v>112</v>
      </c>
      <c r="AV122" s="214" t="s">
        <v>101</v>
      </c>
    </row>
    <row r="123" spans="1:20" s="204" customFormat="1" ht="16.5" customHeight="1">
      <c r="A123" s="196" t="s">
        <v>129</v>
      </c>
      <c r="B123" s="197">
        <v>311351121</v>
      </c>
      <c r="C123" s="136" t="s">
        <v>2139</v>
      </c>
      <c r="D123" s="198" t="s">
        <v>46</v>
      </c>
      <c r="E123" s="199">
        <v>9.4</v>
      </c>
      <c r="F123" s="199"/>
      <c r="G123" s="200">
        <f t="shared" si="6"/>
        <v>0</v>
      </c>
      <c r="H123" s="201">
        <v>0.00275</v>
      </c>
      <c r="I123" s="201">
        <f t="shared" si="7"/>
        <v>0.025849999999999998</v>
      </c>
      <c r="J123" s="85">
        <v>4E-05</v>
      </c>
      <c r="K123" s="85">
        <f t="shared" si="8"/>
        <v>0.00037600000000000003</v>
      </c>
      <c r="L123" s="85"/>
      <c r="M123" s="85"/>
      <c r="N123" s="202"/>
      <c r="O123" s="203"/>
      <c r="P123" s="203"/>
      <c r="Q123" s="203"/>
      <c r="R123" s="203"/>
      <c r="S123" s="203"/>
      <c r="T123" s="203"/>
    </row>
    <row r="124" spans="1:20" s="204" customFormat="1" ht="16.5" customHeight="1">
      <c r="A124" s="196" t="s">
        <v>130</v>
      </c>
      <c r="B124" s="197">
        <v>311351122</v>
      </c>
      <c r="C124" s="136" t="s">
        <v>2140</v>
      </c>
      <c r="D124" s="198" t="s">
        <v>46</v>
      </c>
      <c r="E124" s="199">
        <v>9.4</v>
      </c>
      <c r="F124" s="199"/>
      <c r="G124" s="200">
        <f t="shared" si="6"/>
        <v>0</v>
      </c>
      <c r="H124" s="201">
        <v>0</v>
      </c>
      <c r="I124" s="201">
        <f t="shared" si="7"/>
        <v>0</v>
      </c>
      <c r="J124" s="85">
        <v>4E-05</v>
      </c>
      <c r="K124" s="85">
        <f t="shared" si="8"/>
        <v>0.00037600000000000003</v>
      </c>
      <c r="L124" s="85"/>
      <c r="M124" s="85"/>
      <c r="N124" s="202"/>
      <c r="O124" s="203"/>
      <c r="P124" s="203"/>
      <c r="Q124" s="203"/>
      <c r="R124" s="203"/>
      <c r="S124" s="203"/>
      <c r="T124" s="203"/>
    </row>
    <row r="125" spans="1:20" s="204" customFormat="1" ht="16.5" customHeight="1">
      <c r="A125" s="196" t="s">
        <v>131</v>
      </c>
      <c r="B125" s="197">
        <v>311361821</v>
      </c>
      <c r="C125" s="136" t="s">
        <v>2141</v>
      </c>
      <c r="D125" s="198" t="s">
        <v>73</v>
      </c>
      <c r="E125" s="199">
        <f>SUM(D126)</f>
        <v>0.12689999999999999</v>
      </c>
      <c r="F125" s="199"/>
      <c r="G125" s="200">
        <f t="shared" si="6"/>
        <v>0</v>
      </c>
      <c r="H125" s="201">
        <v>1.04922</v>
      </c>
      <c r="I125" s="201">
        <f t="shared" si="7"/>
        <v>0.13314601799999998</v>
      </c>
      <c r="J125" s="85">
        <v>4E-05</v>
      </c>
      <c r="K125" s="85">
        <f t="shared" si="8"/>
        <v>5.076E-06</v>
      </c>
      <c r="L125" s="85"/>
      <c r="M125" s="85"/>
      <c r="N125" s="202"/>
      <c r="O125" s="203"/>
      <c r="P125" s="203"/>
      <c r="Q125" s="203"/>
      <c r="R125" s="203"/>
      <c r="S125" s="203"/>
      <c r="T125" s="203"/>
    </row>
    <row r="126" spans="1:20" s="214" customFormat="1" ht="15" customHeight="1">
      <c r="A126" s="196"/>
      <c r="B126" s="205"/>
      <c r="C126" s="206" t="s">
        <v>2142</v>
      </c>
      <c r="D126" s="207">
        <f>1.41*0.09</f>
        <v>0.12689999999999999</v>
      </c>
      <c r="E126" s="208"/>
      <c r="F126" s="208"/>
      <c r="G126" s="209"/>
      <c r="H126" s="210"/>
      <c r="I126" s="210"/>
      <c r="J126" s="211"/>
      <c r="K126" s="85"/>
      <c r="L126" s="211"/>
      <c r="M126" s="211"/>
      <c r="N126" s="212"/>
      <c r="O126" s="213"/>
      <c r="P126" s="213"/>
      <c r="Q126" s="213"/>
      <c r="R126" s="213"/>
      <c r="S126" s="213"/>
      <c r="T126" s="213"/>
    </row>
    <row r="127" spans="1:12" s="244" customFormat="1" ht="15.75" customHeight="1">
      <c r="A127" s="455"/>
      <c r="B127" s="674"/>
      <c r="C127" s="675"/>
      <c r="D127" s="672"/>
      <c r="E127" s="676"/>
      <c r="F127" s="676"/>
      <c r="G127" s="677"/>
      <c r="H127" s="241"/>
      <c r="I127" s="242"/>
      <c r="J127" s="243"/>
      <c r="K127" s="241"/>
      <c r="L127" s="241"/>
    </row>
    <row r="128" spans="1:12" s="244" customFormat="1" ht="21.75" customHeight="1">
      <c r="A128" s="196" t="s">
        <v>133</v>
      </c>
      <c r="B128" s="237">
        <v>317941123</v>
      </c>
      <c r="C128" s="238" t="s">
        <v>2149</v>
      </c>
      <c r="D128" s="197" t="s">
        <v>73</v>
      </c>
      <c r="E128" s="239">
        <f>SUM(D129:D129)</f>
        <v>0.21312</v>
      </c>
      <c r="F128" s="239"/>
      <c r="G128" s="240">
        <f>$E128*F128</f>
        <v>0</v>
      </c>
      <c r="H128" s="241">
        <v>0.01709</v>
      </c>
      <c r="I128" s="242">
        <f>E128*H128</f>
        <v>0.0036422208</v>
      </c>
      <c r="J128" s="243">
        <v>0</v>
      </c>
      <c r="K128" s="241">
        <f>E128*J128</f>
        <v>0</v>
      </c>
      <c r="L128" s="241"/>
    </row>
    <row r="129" spans="1:12" s="251" customFormat="1" ht="17.25" customHeight="1">
      <c r="A129" s="196"/>
      <c r="B129" s="706" t="s">
        <v>1548</v>
      </c>
      <c r="C129" s="716" t="s">
        <v>2145</v>
      </c>
      <c r="D129" s="717">
        <f>(4*1.8+4*1.9)*14.4*0.001</f>
        <v>0.21312</v>
      </c>
      <c r="E129" s="718"/>
      <c r="F129" s="718"/>
      <c r="G129" s="719"/>
      <c r="H129" s="249"/>
      <c r="I129" s="250"/>
      <c r="J129" s="250"/>
      <c r="K129" s="250"/>
      <c r="L129" s="250"/>
    </row>
    <row r="130" spans="1:12" s="244" customFormat="1" ht="21.75" customHeight="1">
      <c r="A130" s="196" t="s">
        <v>136</v>
      </c>
      <c r="B130" s="237">
        <v>13010716</v>
      </c>
      <c r="C130" s="238" t="s">
        <v>2144</v>
      </c>
      <c r="D130" s="197" t="s">
        <v>73</v>
      </c>
      <c r="E130" s="239">
        <f>SUM(D131:D131)</f>
        <v>0.23869440000000003</v>
      </c>
      <c r="F130" s="239"/>
      <c r="G130" s="240">
        <f>$E130*F130</f>
        <v>0</v>
      </c>
      <c r="H130" s="241">
        <v>1</v>
      </c>
      <c r="I130" s="242">
        <f>E130*H130</f>
        <v>0.23869440000000003</v>
      </c>
      <c r="J130" s="243">
        <v>0</v>
      </c>
      <c r="K130" s="241">
        <f>E130*J130</f>
        <v>0</v>
      </c>
      <c r="L130" s="241"/>
    </row>
    <row r="131" spans="1:12" s="251" customFormat="1" ht="17.25" customHeight="1">
      <c r="A131" s="196"/>
      <c r="B131" s="706" t="s">
        <v>1548</v>
      </c>
      <c r="C131" s="716" t="s">
        <v>2146</v>
      </c>
      <c r="D131" s="717">
        <f>(4*1.8+4*1.9)*14.4*1.12*0.001</f>
        <v>0.23869440000000003</v>
      </c>
      <c r="E131" s="718"/>
      <c r="F131" s="718"/>
      <c r="G131" s="719"/>
      <c r="H131" s="249"/>
      <c r="I131" s="250"/>
      <c r="J131" s="250"/>
      <c r="K131" s="250"/>
      <c r="L131" s="250"/>
    </row>
    <row r="132" spans="1:7" ht="14" thickBot="1">
      <c r="A132" s="218"/>
      <c r="B132" s="412"/>
      <c r="C132" s="220"/>
      <c r="D132" s="221"/>
      <c r="E132" s="413"/>
      <c r="F132" s="414"/>
      <c r="G132" s="415"/>
    </row>
    <row r="133" spans="1:7" ht="12.75">
      <c r="A133" s="225"/>
      <c r="B133" s="226"/>
      <c r="C133" s="227" t="s">
        <v>113</v>
      </c>
      <c r="D133" s="226"/>
      <c r="E133" s="416"/>
      <c r="F133" s="417"/>
      <c r="G133" s="230">
        <f>SUBTOTAL(9,G113:G132)</f>
        <v>0</v>
      </c>
    </row>
    <row r="134" spans="1:7" ht="12.75">
      <c r="A134" s="179"/>
      <c r="B134" s="180"/>
      <c r="C134" s="180"/>
      <c r="D134" s="180"/>
      <c r="E134" s="180"/>
      <c r="F134" s="180"/>
      <c r="G134" s="396"/>
    </row>
    <row r="135" spans="1:20" ht="17.25" customHeight="1">
      <c r="A135" s="182" t="s">
        <v>98</v>
      </c>
      <c r="B135" s="183" t="s">
        <v>98</v>
      </c>
      <c r="C135" s="184" t="s">
        <v>1139</v>
      </c>
      <c r="D135" s="185"/>
      <c r="E135" s="186"/>
      <c r="F135" s="187"/>
      <c r="G135" s="188"/>
      <c r="H135" s="77"/>
      <c r="I135" s="77"/>
      <c r="J135" s="77"/>
      <c r="K135" s="77"/>
      <c r="L135" s="77"/>
      <c r="M135" s="77"/>
      <c r="N135" s="78"/>
      <c r="O135" s="79"/>
      <c r="P135" s="79"/>
      <c r="Q135" s="79"/>
      <c r="R135" s="79"/>
      <c r="S135" s="79"/>
      <c r="T135" s="79"/>
    </row>
    <row r="136" spans="1:20" ht="12.75">
      <c r="A136" s="189"/>
      <c r="B136" s="231"/>
      <c r="C136" s="232"/>
      <c r="D136" s="233"/>
      <c r="E136" s="234"/>
      <c r="F136" s="235"/>
      <c r="G136" s="236"/>
      <c r="H136" s="77"/>
      <c r="I136" s="77"/>
      <c r="J136" s="77"/>
      <c r="K136" s="77"/>
      <c r="L136" s="77"/>
      <c r="M136" s="77"/>
      <c r="N136" s="78"/>
      <c r="O136" s="79"/>
      <c r="P136" s="79"/>
      <c r="Q136" s="79"/>
      <c r="R136" s="79"/>
      <c r="S136" s="79"/>
      <c r="T136" s="79"/>
    </row>
    <row r="137" spans="1:20" s="271" customFormat="1" ht="25.5" customHeight="1">
      <c r="A137" s="268" t="s">
        <v>156</v>
      </c>
      <c r="B137" s="269" t="s">
        <v>2073</v>
      </c>
      <c r="C137" s="270" t="s">
        <v>2074</v>
      </c>
      <c r="D137" s="198" t="s">
        <v>52</v>
      </c>
      <c r="E137" s="199">
        <f>SUM(D138)</f>
        <v>2.4949999999999997</v>
      </c>
      <c r="F137" s="199"/>
      <c r="G137" s="200">
        <f>E137*F137</f>
        <v>0</v>
      </c>
      <c r="H137" s="242">
        <v>2.4534</v>
      </c>
      <c r="I137" s="201">
        <f>E137*H137</f>
        <v>6.121232999999998</v>
      </c>
      <c r="J137" s="85"/>
      <c r="K137" s="85"/>
      <c r="L137" s="85"/>
      <c r="M137" s="85"/>
      <c r="N137" s="202"/>
      <c r="O137" s="203"/>
      <c r="P137" s="203"/>
      <c r="Q137" s="203"/>
      <c r="R137" s="203"/>
      <c r="S137" s="203"/>
      <c r="T137" s="203"/>
    </row>
    <row r="138" spans="1:20" s="214" customFormat="1" ht="15" customHeight="1">
      <c r="A138" s="196"/>
      <c r="B138" s="205"/>
      <c r="C138" s="206" t="s">
        <v>2143</v>
      </c>
      <c r="D138" s="207">
        <f>0.248+0.313+0.566+0.762+0.606</f>
        <v>2.4949999999999997</v>
      </c>
      <c r="E138" s="208"/>
      <c r="F138" s="208"/>
      <c r="G138" s="209"/>
      <c r="H138" s="210"/>
      <c r="I138" s="210"/>
      <c r="J138" s="211"/>
      <c r="K138" s="85"/>
      <c r="L138" s="211"/>
      <c r="M138" s="211"/>
      <c r="N138" s="212"/>
      <c r="O138" s="213"/>
      <c r="P138" s="213"/>
      <c r="Q138" s="213"/>
      <c r="R138" s="213"/>
      <c r="S138" s="213"/>
      <c r="T138" s="213"/>
    </row>
    <row r="139" spans="1:20" s="271" customFormat="1" ht="25.5" customHeight="1">
      <c r="A139" s="268" t="s">
        <v>159</v>
      </c>
      <c r="B139" s="237" t="s">
        <v>2075</v>
      </c>
      <c r="C139" s="273" t="s">
        <v>2076</v>
      </c>
      <c r="D139" s="198" t="s">
        <v>46</v>
      </c>
      <c r="E139" s="199">
        <v>5.94</v>
      </c>
      <c r="F139" s="199"/>
      <c r="G139" s="200">
        <f>E139*F139</f>
        <v>0</v>
      </c>
      <c r="H139" s="85">
        <v>0.00576</v>
      </c>
      <c r="I139" s="85"/>
      <c r="J139" s="85"/>
      <c r="K139" s="85"/>
      <c r="L139" s="85"/>
      <c r="M139" s="85"/>
      <c r="N139" s="202"/>
      <c r="O139" s="203"/>
      <c r="P139" s="203"/>
      <c r="Q139" s="203"/>
      <c r="R139" s="203"/>
      <c r="S139" s="203"/>
      <c r="T139" s="203"/>
    </row>
    <row r="140" spans="1:20" s="271" customFormat="1" ht="25.5" customHeight="1">
      <c r="A140" s="268" t="s">
        <v>162</v>
      </c>
      <c r="B140" s="237" t="s">
        <v>2077</v>
      </c>
      <c r="C140" s="273" t="s">
        <v>2078</v>
      </c>
      <c r="D140" s="198" t="s">
        <v>46</v>
      </c>
      <c r="E140" s="199">
        <v>5.94</v>
      </c>
      <c r="F140" s="199"/>
      <c r="G140" s="200">
        <f>E140*F140</f>
        <v>0</v>
      </c>
      <c r="H140" s="85">
        <v>0</v>
      </c>
      <c r="I140" s="85"/>
      <c r="J140" s="85"/>
      <c r="K140" s="85"/>
      <c r="L140" s="85"/>
      <c r="M140" s="85"/>
      <c r="N140" s="202"/>
      <c r="O140" s="203"/>
      <c r="P140" s="203"/>
      <c r="Q140" s="203"/>
      <c r="R140" s="203"/>
      <c r="S140" s="203"/>
      <c r="T140" s="203"/>
    </row>
    <row r="141" spans="1:20" s="271" customFormat="1" ht="25.5" customHeight="1">
      <c r="A141" s="268" t="s">
        <v>164</v>
      </c>
      <c r="B141" s="237" t="s">
        <v>2079</v>
      </c>
      <c r="C141" s="273" t="s">
        <v>2080</v>
      </c>
      <c r="D141" s="198" t="s">
        <v>73</v>
      </c>
      <c r="E141" s="199">
        <f>2.5*0.08</f>
        <v>0.2</v>
      </c>
      <c r="F141" s="199"/>
      <c r="G141" s="200">
        <f>E141*F141</f>
        <v>0</v>
      </c>
      <c r="H141" s="85">
        <v>1.05291</v>
      </c>
      <c r="I141" s="85"/>
      <c r="J141" s="85"/>
      <c r="K141" s="85"/>
      <c r="L141" s="85"/>
      <c r="M141" s="85"/>
      <c r="N141" s="202"/>
      <c r="O141" s="203"/>
      <c r="P141" s="203"/>
      <c r="Q141" s="203"/>
      <c r="R141" s="203"/>
      <c r="S141" s="203"/>
      <c r="T141" s="203"/>
    </row>
    <row r="142" spans="1:20" s="204" customFormat="1" ht="15" customHeight="1">
      <c r="A142" s="268"/>
      <c r="B142" s="197"/>
      <c r="C142" s="136"/>
      <c r="D142" s="198"/>
      <c r="E142" s="199"/>
      <c r="F142" s="199"/>
      <c r="G142" s="200">
        <f>E142*F142</f>
        <v>0</v>
      </c>
      <c r="H142" s="201">
        <v>0.011</v>
      </c>
      <c r="I142" s="201">
        <f>E142*H142</f>
        <v>0</v>
      </c>
      <c r="J142" s="85">
        <v>0</v>
      </c>
      <c r="K142" s="85">
        <f>E142*J142</f>
        <v>0</v>
      </c>
      <c r="L142" s="85"/>
      <c r="M142" s="85"/>
      <c r="N142" s="202"/>
      <c r="O142" s="203"/>
      <c r="P142" s="203"/>
      <c r="Q142" s="203"/>
      <c r="R142" s="203"/>
      <c r="S142" s="203"/>
      <c r="T142" s="203"/>
    </row>
    <row r="143" spans="1:20" s="204" customFormat="1" ht="34.5" customHeight="1">
      <c r="A143" s="268" t="s">
        <v>363</v>
      </c>
      <c r="B143" s="197">
        <v>411141114</v>
      </c>
      <c r="C143" s="136" t="s">
        <v>2148</v>
      </c>
      <c r="D143" s="198" t="s">
        <v>46</v>
      </c>
      <c r="E143" s="199">
        <f>SUM(D144)</f>
        <v>67.798</v>
      </c>
      <c r="F143" s="199"/>
      <c r="G143" s="240">
        <f>$E143*F143</f>
        <v>0</v>
      </c>
      <c r="H143" s="201">
        <v>0.26453</v>
      </c>
      <c r="I143" s="242">
        <f>E143*H143</f>
        <v>17.93460494</v>
      </c>
      <c r="J143" s="243">
        <v>0</v>
      </c>
      <c r="K143" s="241">
        <f>E143*J143</f>
        <v>0</v>
      </c>
      <c r="L143" s="85"/>
      <c r="M143" s="85"/>
      <c r="N143" s="202"/>
      <c r="O143" s="203"/>
      <c r="P143" s="203"/>
      <c r="Q143" s="203"/>
      <c r="R143" s="203"/>
      <c r="S143" s="203"/>
      <c r="T143" s="203"/>
    </row>
    <row r="144" spans="1:20" s="214" customFormat="1" ht="20.25" customHeight="1">
      <c r="A144" s="196"/>
      <c r="B144" s="205"/>
      <c r="C144" s="206" t="s">
        <v>2147</v>
      </c>
      <c r="D144" s="207">
        <f>5.2*(6.82+3.035+3.185)-0.01</f>
        <v>67.798</v>
      </c>
      <c r="E144" s="208"/>
      <c r="F144" s="208"/>
      <c r="G144" s="209"/>
      <c r="H144" s="210"/>
      <c r="I144" s="210"/>
      <c r="J144" s="211"/>
      <c r="K144" s="85"/>
      <c r="L144" s="211"/>
      <c r="M144" s="211"/>
      <c r="N144" s="212"/>
      <c r="O144" s="213"/>
      <c r="P144" s="213"/>
      <c r="Q144" s="213"/>
      <c r="R144" s="213"/>
      <c r="S144" s="213"/>
      <c r="T144" s="213"/>
    </row>
    <row r="145" spans="1:20" s="204" customFormat="1" ht="14" thickBot="1">
      <c r="A145" s="286"/>
      <c r="B145" s="219"/>
      <c r="C145" s="220"/>
      <c r="D145" s="221"/>
      <c r="E145" s="223"/>
      <c r="F145" s="223"/>
      <c r="G145" s="287"/>
      <c r="H145" s="85"/>
      <c r="I145" s="85"/>
      <c r="J145" s="85"/>
      <c r="K145" s="85"/>
      <c r="L145" s="85"/>
      <c r="M145" s="85"/>
      <c r="N145" s="202"/>
      <c r="O145" s="203"/>
      <c r="P145" s="203"/>
      <c r="Q145" s="203"/>
      <c r="R145" s="203"/>
      <c r="S145" s="203"/>
      <c r="T145" s="203"/>
    </row>
    <row r="146" spans="1:20" ht="12.75">
      <c r="A146" s="225"/>
      <c r="B146" s="226"/>
      <c r="C146" s="227" t="s">
        <v>113</v>
      </c>
      <c r="D146" s="226"/>
      <c r="E146" s="228"/>
      <c r="F146" s="229"/>
      <c r="G146" s="230">
        <f>SUBTOTAL(9,G136:G145)</f>
        <v>0</v>
      </c>
      <c r="H146" s="77"/>
      <c r="I146" s="77"/>
      <c r="J146" s="77"/>
      <c r="K146" s="77"/>
      <c r="L146" s="77"/>
      <c r="M146" s="77"/>
      <c r="N146" s="78"/>
      <c r="O146" s="79"/>
      <c r="P146" s="79"/>
      <c r="Q146" s="79"/>
      <c r="R146" s="79"/>
      <c r="S146" s="79"/>
      <c r="T146" s="79"/>
    </row>
    <row r="147" spans="1:20" ht="12.75">
      <c r="A147" s="179"/>
      <c r="B147" s="180"/>
      <c r="C147" s="180"/>
      <c r="D147" s="180"/>
      <c r="E147" s="180"/>
      <c r="F147" s="180"/>
      <c r="G147" s="181"/>
      <c r="H147" s="77"/>
      <c r="I147" s="77"/>
      <c r="J147" s="77"/>
      <c r="K147" s="77"/>
      <c r="L147" s="77"/>
      <c r="M147" s="77"/>
      <c r="N147" s="78"/>
      <c r="O147" s="79"/>
      <c r="P147" s="79"/>
      <c r="Q147" s="79"/>
      <c r="R147" s="79"/>
      <c r="S147" s="79"/>
      <c r="T147" s="79"/>
    </row>
    <row r="148" spans="1:7" ht="12.75">
      <c r="A148" s="182" t="s">
        <v>166</v>
      </c>
      <c r="B148" s="183"/>
      <c r="C148" s="184" t="s">
        <v>2083</v>
      </c>
      <c r="D148" s="397"/>
      <c r="E148" s="398"/>
      <c r="F148" s="187"/>
      <c r="G148" s="399"/>
    </row>
    <row r="149" spans="1:7" ht="12.75">
      <c r="A149" s="189"/>
      <c r="B149" s="400"/>
      <c r="C149" s="232"/>
      <c r="D149" s="233"/>
      <c r="E149" s="401"/>
      <c r="F149" s="402"/>
      <c r="G149" s="403"/>
    </row>
    <row r="150" spans="1:7" ht="12.75">
      <c r="A150" s="572"/>
      <c r="B150" s="477"/>
      <c r="C150" s="254" t="s">
        <v>1476</v>
      </c>
      <c r="D150" s="489"/>
      <c r="E150" s="490"/>
      <c r="F150" s="439"/>
      <c r="G150" s="573"/>
    </row>
    <row r="151" spans="1:20" s="204" customFormat="1" ht="30.75" customHeight="1">
      <c r="A151" s="268" t="s">
        <v>168</v>
      </c>
      <c r="B151" s="197" t="s">
        <v>1468</v>
      </c>
      <c r="C151" s="136" t="s">
        <v>1469</v>
      </c>
      <c r="D151" s="198" t="s">
        <v>46</v>
      </c>
      <c r="E151" s="199">
        <f>E143</f>
        <v>67.798</v>
      </c>
      <c r="F151" s="199"/>
      <c r="G151" s="200">
        <f>E151*F151</f>
        <v>0</v>
      </c>
      <c r="H151" s="201">
        <v>0.00438</v>
      </c>
      <c r="I151" s="201">
        <f>E151*H151</f>
        <v>0.29695524</v>
      </c>
      <c r="J151" s="85">
        <v>0</v>
      </c>
      <c r="K151" s="85">
        <f>E151*J151</f>
        <v>0</v>
      </c>
      <c r="L151" s="85"/>
      <c r="M151" s="85"/>
      <c r="N151" s="202"/>
      <c r="O151" s="203"/>
      <c r="P151" s="203"/>
      <c r="Q151" s="203"/>
      <c r="R151" s="203"/>
      <c r="S151" s="203"/>
      <c r="T151" s="203"/>
    </row>
    <row r="152" spans="1:20" s="204" customFormat="1" ht="21.75" customHeight="1">
      <c r="A152" s="268" t="s">
        <v>268</v>
      </c>
      <c r="B152" s="197" t="s">
        <v>2033</v>
      </c>
      <c r="C152" s="136" t="s">
        <v>2034</v>
      </c>
      <c r="D152" s="198" t="s">
        <v>46</v>
      </c>
      <c r="E152" s="278">
        <f>E151</f>
        <v>67.798</v>
      </c>
      <c r="F152" s="278"/>
      <c r="G152" s="200">
        <f>E152*F152</f>
        <v>0</v>
      </c>
      <c r="H152" s="201">
        <v>0.003</v>
      </c>
      <c r="I152" s="201">
        <f>E152*H152</f>
        <v>0.20339400000000002</v>
      </c>
      <c r="J152" s="85">
        <v>0</v>
      </c>
      <c r="K152" s="85">
        <f>E152*J152</f>
        <v>0</v>
      </c>
      <c r="L152" s="85"/>
      <c r="M152" s="85"/>
      <c r="N152" s="202"/>
      <c r="O152" s="203"/>
      <c r="P152" s="203"/>
      <c r="Q152" s="203"/>
      <c r="R152" s="203"/>
      <c r="S152" s="203"/>
      <c r="T152" s="203"/>
    </row>
    <row r="153" spans="1:20" s="204" customFormat="1" ht="23.25" customHeight="1">
      <c r="A153" s="268" t="s">
        <v>269</v>
      </c>
      <c r="B153" s="197" t="s">
        <v>2084</v>
      </c>
      <c r="C153" s="136" t="s">
        <v>132</v>
      </c>
      <c r="D153" s="198" t="s">
        <v>46</v>
      </c>
      <c r="E153" s="199">
        <v>176.3</v>
      </c>
      <c r="F153" s="199"/>
      <c r="G153" s="200">
        <f>E153*F153</f>
        <v>0</v>
      </c>
      <c r="H153" s="201">
        <v>0.00438</v>
      </c>
      <c r="I153" s="201">
        <f>E153*H153</f>
        <v>0.772194</v>
      </c>
      <c r="J153" s="85">
        <v>0</v>
      </c>
      <c r="K153" s="85">
        <f>E153*J153</f>
        <v>0</v>
      </c>
      <c r="L153" s="85"/>
      <c r="M153" s="85"/>
      <c r="N153" s="202"/>
      <c r="O153" s="203"/>
      <c r="P153" s="203"/>
      <c r="Q153" s="203"/>
      <c r="R153" s="203"/>
      <c r="S153" s="203"/>
      <c r="T153" s="203"/>
    </row>
    <row r="154" spans="1:20" s="204" customFormat="1" ht="23.25" customHeight="1">
      <c r="A154" s="268" t="s">
        <v>329</v>
      </c>
      <c r="B154" s="197" t="s">
        <v>2085</v>
      </c>
      <c r="C154" s="136" t="s">
        <v>2086</v>
      </c>
      <c r="D154" s="198" t="s">
        <v>46</v>
      </c>
      <c r="E154" s="278">
        <f>E153</f>
        <v>176.3</v>
      </c>
      <c r="F154" s="278"/>
      <c r="G154" s="200">
        <f>E154*F154</f>
        <v>0</v>
      </c>
      <c r="H154" s="201">
        <v>0.003</v>
      </c>
      <c r="I154" s="201">
        <f>E154*H154</f>
        <v>0.5289</v>
      </c>
      <c r="J154" s="85">
        <v>0</v>
      </c>
      <c r="K154" s="85">
        <f>E154*J154</f>
        <v>0</v>
      </c>
      <c r="L154" s="85"/>
      <c r="M154" s="85"/>
      <c r="N154" s="202"/>
      <c r="O154" s="203"/>
      <c r="P154" s="203"/>
      <c r="Q154" s="203"/>
      <c r="R154" s="203"/>
      <c r="S154" s="203"/>
      <c r="T154" s="203"/>
    </row>
    <row r="155" spans="1:20" s="204" customFormat="1" ht="15.75" customHeight="1">
      <c r="A155" s="268"/>
      <c r="B155" s="197"/>
      <c r="C155" s="136"/>
      <c r="D155" s="198"/>
      <c r="E155" s="199"/>
      <c r="F155" s="199"/>
      <c r="G155" s="200"/>
      <c r="H155" s="201">
        <v>0.01608</v>
      </c>
      <c r="I155" s="201">
        <f>E155*H155</f>
        <v>0</v>
      </c>
      <c r="J155" s="85">
        <v>0</v>
      </c>
      <c r="K155" s="85">
        <f>E155*J155</f>
        <v>0</v>
      </c>
      <c r="L155" s="85"/>
      <c r="M155" s="85"/>
      <c r="N155" s="202"/>
      <c r="O155" s="203"/>
      <c r="P155" s="203"/>
      <c r="Q155" s="203"/>
      <c r="R155" s="203"/>
      <c r="S155" s="203"/>
      <c r="T155" s="203"/>
    </row>
    <row r="156" spans="1:20" s="204" customFormat="1" ht="15.75" customHeight="1">
      <c r="A156" s="268"/>
      <c r="B156" s="778"/>
      <c r="C156" s="254" t="s">
        <v>135</v>
      </c>
      <c r="D156" s="783"/>
      <c r="E156" s="909"/>
      <c r="F156" s="909"/>
      <c r="G156" s="738"/>
      <c r="H156" s="201"/>
      <c r="I156" s="201"/>
      <c r="J156" s="85"/>
      <c r="K156" s="85"/>
      <c r="L156" s="85"/>
      <c r="M156" s="85"/>
      <c r="N156" s="202"/>
      <c r="O156" s="203"/>
      <c r="P156" s="203"/>
      <c r="Q156" s="203"/>
      <c r="R156" s="203"/>
      <c r="S156" s="203"/>
      <c r="T156" s="203"/>
    </row>
    <row r="157" spans="1:20" s="271" customFormat="1" ht="13">
      <c r="A157" s="268" t="s">
        <v>330</v>
      </c>
      <c r="B157" s="269" t="s">
        <v>186</v>
      </c>
      <c r="C157" s="270" t="s">
        <v>1422</v>
      </c>
      <c r="D157" s="269" t="s">
        <v>46</v>
      </c>
      <c r="E157" s="669">
        <f>SUM(D158)</f>
        <v>55.1</v>
      </c>
      <c r="F157" s="669"/>
      <c r="G157" s="200">
        <f>E157*F157</f>
        <v>0</v>
      </c>
      <c r="H157" s="85">
        <v>0</v>
      </c>
      <c r="I157" s="201">
        <f>E157*H157</f>
        <v>0</v>
      </c>
      <c r="J157" s="85">
        <v>0</v>
      </c>
      <c r="K157" s="85">
        <f>E157*J157</f>
        <v>0</v>
      </c>
      <c r="L157" s="85"/>
      <c r="M157" s="85"/>
      <c r="N157" s="202"/>
      <c r="O157" s="203"/>
      <c r="P157" s="203"/>
      <c r="Q157" s="203"/>
      <c r="R157" s="203"/>
      <c r="S157" s="203"/>
      <c r="T157" s="203"/>
    </row>
    <row r="158" spans="1:20" s="596" customFormat="1" ht="18" customHeight="1">
      <c r="A158" s="720"/>
      <c r="B158" s="721"/>
      <c r="C158" s="684" t="s">
        <v>2152</v>
      </c>
      <c r="D158" s="685">
        <f>(23.9+13.1+18.1)</f>
        <v>55.1</v>
      </c>
      <c r="E158" s="679"/>
      <c r="F158" s="679"/>
      <c r="G158" s="680"/>
      <c r="H158" s="592"/>
      <c r="I158" s="592"/>
      <c r="J158" s="593"/>
      <c r="K158" s="593"/>
      <c r="L158" s="593"/>
      <c r="M158" s="593"/>
      <c r="N158" s="594"/>
      <c r="O158" s="595"/>
      <c r="P158" s="595"/>
      <c r="Q158" s="595"/>
      <c r="R158" s="595"/>
      <c r="S158" s="595"/>
      <c r="T158" s="595"/>
    </row>
    <row r="159" spans="1:20" s="271" customFormat="1" ht="13">
      <c r="A159" s="268" t="s">
        <v>331</v>
      </c>
      <c r="B159" s="269" t="s">
        <v>188</v>
      </c>
      <c r="C159" s="270" t="s">
        <v>1423</v>
      </c>
      <c r="D159" s="269" t="s">
        <v>46</v>
      </c>
      <c r="E159" s="669">
        <f>SUM(D160)</f>
        <v>118.99600000000001</v>
      </c>
      <c r="F159" s="669"/>
      <c r="G159" s="200">
        <f>E159*F159</f>
        <v>0</v>
      </c>
      <c r="H159" s="85">
        <v>0.004896</v>
      </c>
      <c r="I159" s="201">
        <f>E159*H159</f>
        <v>0.582604416</v>
      </c>
      <c r="J159" s="85">
        <v>0</v>
      </c>
      <c r="K159" s="85">
        <f>E159*J159</f>
        <v>0</v>
      </c>
      <c r="L159" s="85"/>
      <c r="M159" s="85"/>
      <c r="N159" s="202"/>
      <c r="O159" s="203"/>
      <c r="P159" s="203"/>
      <c r="Q159" s="203"/>
      <c r="R159" s="203"/>
      <c r="S159" s="203"/>
      <c r="T159" s="203"/>
    </row>
    <row r="160" spans="1:20" s="596" customFormat="1" ht="18" customHeight="1">
      <c r="A160" s="720"/>
      <c r="B160" s="721"/>
      <c r="C160" s="684" t="s">
        <v>2153</v>
      </c>
      <c r="D160" s="685">
        <f>(23.9+13.1+18.1)*2*1.08-0.02</f>
        <v>118.99600000000001</v>
      </c>
      <c r="E160" s="679"/>
      <c r="F160" s="679"/>
      <c r="G160" s="680"/>
      <c r="H160" s="592"/>
      <c r="I160" s="592"/>
      <c r="J160" s="593"/>
      <c r="K160" s="593"/>
      <c r="L160" s="593"/>
      <c r="M160" s="593"/>
      <c r="N160" s="594"/>
      <c r="O160" s="595"/>
      <c r="P160" s="595"/>
      <c r="Q160" s="595"/>
      <c r="R160" s="595"/>
      <c r="S160" s="595"/>
      <c r="T160" s="595"/>
    </row>
    <row r="161" spans="1:20" s="204" customFormat="1" ht="24" customHeight="1">
      <c r="A161" s="268" t="s">
        <v>332</v>
      </c>
      <c r="B161" s="197" t="s">
        <v>1424</v>
      </c>
      <c r="C161" s="136" t="s">
        <v>1425</v>
      </c>
      <c r="D161" s="198" t="s">
        <v>116</v>
      </c>
      <c r="E161" s="199">
        <f>SUM(D162)</f>
        <v>54.6</v>
      </c>
      <c r="F161" s="199"/>
      <c r="G161" s="200">
        <f>E161*F161</f>
        <v>0</v>
      </c>
      <c r="H161" s="201">
        <v>0</v>
      </c>
      <c r="I161" s="242">
        <f>E161*H161</f>
        <v>0</v>
      </c>
      <c r="J161" s="243">
        <v>0</v>
      </c>
      <c r="K161" s="241">
        <f>E161*J161</f>
        <v>0</v>
      </c>
      <c r="L161" s="85"/>
      <c r="M161" s="85"/>
      <c r="N161" s="202"/>
      <c r="O161" s="203"/>
      <c r="P161" s="203"/>
      <c r="Q161" s="203"/>
      <c r="R161" s="203"/>
      <c r="S161" s="203"/>
      <c r="T161" s="203"/>
    </row>
    <row r="162" spans="1:20" s="596" customFormat="1" ht="18" customHeight="1">
      <c r="A162" s="720"/>
      <c r="B162" s="721"/>
      <c r="C162" s="684" t="s">
        <v>2160</v>
      </c>
      <c r="D162" s="685">
        <f>(19.8+15.3+18.4)*1.02+0.03</f>
        <v>54.6</v>
      </c>
      <c r="E162" s="679"/>
      <c r="F162" s="679"/>
      <c r="G162" s="680"/>
      <c r="H162" s="592"/>
      <c r="I162" s="592"/>
      <c r="J162" s="593"/>
      <c r="K162" s="593"/>
      <c r="L162" s="593"/>
      <c r="M162" s="593"/>
      <c r="N162" s="594"/>
      <c r="O162" s="595"/>
      <c r="P162" s="595"/>
      <c r="Q162" s="595"/>
      <c r="R162" s="595"/>
      <c r="S162" s="595"/>
      <c r="T162" s="595"/>
    </row>
    <row r="163" spans="1:20" s="204" customFormat="1" ht="26.25" customHeight="1">
      <c r="A163" s="268" t="s">
        <v>333</v>
      </c>
      <c r="B163" s="197" t="s">
        <v>1426</v>
      </c>
      <c r="C163" s="136" t="s">
        <v>1427</v>
      </c>
      <c r="D163" s="198" t="s">
        <v>116</v>
      </c>
      <c r="E163" s="199">
        <f>1.1655*E161+0.05</f>
        <v>63.686299999999996</v>
      </c>
      <c r="F163" s="199"/>
      <c r="G163" s="200">
        <f>E163*F163</f>
        <v>0</v>
      </c>
      <c r="H163" s="201">
        <v>5E-05</v>
      </c>
      <c r="I163" s="242">
        <f>E163*H163</f>
        <v>0.003184315</v>
      </c>
      <c r="J163" s="243">
        <v>0</v>
      </c>
      <c r="K163" s="241">
        <f>E163*J163</f>
        <v>0</v>
      </c>
      <c r="L163" s="85"/>
      <c r="M163" s="85"/>
      <c r="N163" s="202"/>
      <c r="O163" s="203"/>
      <c r="P163" s="203"/>
      <c r="Q163" s="203"/>
      <c r="R163" s="203"/>
      <c r="S163" s="203"/>
      <c r="T163" s="203"/>
    </row>
    <row r="164" spans="1:20" s="204" customFormat="1" ht="15.75" customHeight="1">
      <c r="A164" s="268" t="s">
        <v>373</v>
      </c>
      <c r="B164" s="197">
        <v>711331383</v>
      </c>
      <c r="C164" s="136" t="s">
        <v>2156</v>
      </c>
      <c r="D164" s="198" t="s">
        <v>46</v>
      </c>
      <c r="E164" s="199">
        <f>E157*1.1-0.01</f>
        <v>60.60000000000001</v>
      </c>
      <c r="F164" s="199"/>
      <c r="G164" s="200">
        <f>E164*F164</f>
        <v>0</v>
      </c>
      <c r="H164" s="201"/>
      <c r="I164" s="201"/>
      <c r="J164" s="85"/>
      <c r="K164" s="85"/>
      <c r="L164" s="85"/>
      <c r="M164" s="85"/>
      <c r="N164" s="202"/>
      <c r="O164" s="203"/>
      <c r="P164" s="203"/>
      <c r="Q164" s="203"/>
      <c r="R164" s="203"/>
      <c r="S164" s="203"/>
      <c r="T164" s="203"/>
    </row>
    <row r="165" spans="1:20" s="271" customFormat="1" ht="18.75" customHeight="1">
      <c r="A165" s="268" t="s">
        <v>374</v>
      </c>
      <c r="B165" s="269">
        <v>62855000</v>
      </c>
      <c r="C165" s="270" t="s">
        <v>2155</v>
      </c>
      <c r="D165" s="269" t="s">
        <v>46</v>
      </c>
      <c r="E165" s="199">
        <f>SUM(D166)</f>
        <v>63.394999999999996</v>
      </c>
      <c r="F165" s="669"/>
      <c r="G165" s="200">
        <f>E165*F165</f>
        <v>0</v>
      </c>
      <c r="H165" s="85">
        <v>0.002</v>
      </c>
      <c r="I165" s="201">
        <f>E165*H165</f>
        <v>0.12678999999999999</v>
      </c>
      <c r="J165" s="85">
        <v>0</v>
      </c>
      <c r="K165" s="85">
        <f>E165*J165</f>
        <v>0</v>
      </c>
      <c r="L165" s="85"/>
      <c r="M165" s="85"/>
      <c r="N165" s="202"/>
      <c r="O165" s="203"/>
      <c r="P165" s="203"/>
      <c r="Q165" s="203"/>
      <c r="R165" s="203"/>
      <c r="S165" s="203"/>
      <c r="T165" s="203"/>
    </row>
    <row r="166" spans="1:20" s="596" customFormat="1" ht="18" customHeight="1">
      <c r="A166" s="720"/>
      <c r="B166" s="721"/>
      <c r="C166" s="684" t="s">
        <v>2154</v>
      </c>
      <c r="D166" s="685">
        <f>55.1*1.15+0.03</f>
        <v>63.394999999999996</v>
      </c>
      <c r="E166" s="679"/>
      <c r="F166" s="679"/>
      <c r="G166" s="680"/>
      <c r="H166" s="592"/>
      <c r="I166" s="592"/>
      <c r="J166" s="593"/>
      <c r="K166" s="593"/>
      <c r="L166" s="593"/>
      <c r="M166" s="593"/>
      <c r="N166" s="594"/>
      <c r="O166" s="595"/>
      <c r="P166" s="595"/>
      <c r="Q166" s="595"/>
      <c r="R166" s="595"/>
      <c r="S166" s="595"/>
      <c r="T166" s="595"/>
    </row>
    <row r="167" spans="1:20" s="271" customFormat="1" ht="17.25" customHeight="1">
      <c r="A167" s="268"/>
      <c r="B167" s="269"/>
      <c r="C167" s="270"/>
      <c r="D167" s="269"/>
      <c r="E167" s="669"/>
      <c r="F167" s="669"/>
      <c r="G167" s="200"/>
      <c r="H167" s="85"/>
      <c r="I167" s="201"/>
      <c r="J167" s="85"/>
      <c r="K167" s="85"/>
      <c r="L167" s="85"/>
      <c r="M167" s="85"/>
      <c r="N167" s="202"/>
      <c r="O167" s="203"/>
      <c r="P167" s="203"/>
      <c r="Q167" s="203"/>
      <c r="R167" s="203"/>
      <c r="S167" s="203"/>
      <c r="T167" s="203"/>
    </row>
    <row r="168" spans="1:20" s="271" customFormat="1" ht="32.25" customHeight="1">
      <c r="A168" s="268" t="s">
        <v>376</v>
      </c>
      <c r="B168" s="269">
        <v>631311126</v>
      </c>
      <c r="C168" s="270" t="s">
        <v>2157</v>
      </c>
      <c r="D168" s="269" t="s">
        <v>52</v>
      </c>
      <c r="E168" s="669">
        <f>SUM(D169)</f>
        <v>6.612</v>
      </c>
      <c r="F168" s="669"/>
      <c r="G168" s="200">
        <f>E168*F168</f>
        <v>0</v>
      </c>
      <c r="H168" s="85">
        <v>2.45329</v>
      </c>
      <c r="I168" s="201">
        <f>E168*H168</f>
        <v>16.22115348</v>
      </c>
      <c r="J168" s="85">
        <v>0</v>
      </c>
      <c r="K168" s="85">
        <f>E168*J168</f>
        <v>0</v>
      </c>
      <c r="L168" s="85"/>
      <c r="M168" s="85"/>
      <c r="N168" s="202"/>
      <c r="O168" s="203"/>
      <c r="P168" s="203"/>
      <c r="Q168" s="203"/>
      <c r="R168" s="203"/>
      <c r="S168" s="203"/>
      <c r="T168" s="203"/>
    </row>
    <row r="169" spans="1:20" s="214" customFormat="1" ht="15" customHeight="1">
      <c r="A169" s="196"/>
      <c r="B169" s="205"/>
      <c r="C169" s="206" t="s">
        <v>2159</v>
      </c>
      <c r="D169" s="207">
        <f>55.1*0.12</f>
        <v>6.612</v>
      </c>
      <c r="E169" s="208"/>
      <c r="F169" s="208"/>
      <c r="G169" s="209"/>
      <c r="H169" s="210"/>
      <c r="I169" s="210"/>
      <c r="J169" s="211"/>
      <c r="K169" s="85"/>
      <c r="L169" s="211"/>
      <c r="M169" s="211"/>
      <c r="N169" s="212"/>
      <c r="O169" s="213"/>
      <c r="P169" s="213"/>
      <c r="Q169" s="213"/>
      <c r="R169" s="213"/>
      <c r="S169" s="213"/>
      <c r="T169" s="213"/>
    </row>
    <row r="170" spans="1:20" s="244" customFormat="1" ht="32.25" customHeight="1">
      <c r="A170" s="268" t="s">
        <v>378</v>
      </c>
      <c r="B170" s="197">
        <v>6313192023</v>
      </c>
      <c r="C170" s="294" t="s">
        <v>2158</v>
      </c>
      <c r="D170" s="295" t="s">
        <v>52</v>
      </c>
      <c r="E170" s="404">
        <f>E168</f>
        <v>6.612</v>
      </c>
      <c r="F170" s="404"/>
      <c r="G170" s="200">
        <f>E170*F170</f>
        <v>0</v>
      </c>
      <c r="H170" s="242">
        <v>0.02525</v>
      </c>
      <c r="I170" s="242">
        <f>E170*H170</f>
        <v>0.16695300000000002</v>
      </c>
      <c r="J170" s="243">
        <v>0</v>
      </c>
      <c r="K170" s="243">
        <f>E170*J170</f>
        <v>0</v>
      </c>
      <c r="L170" s="243"/>
      <c r="M170" s="243"/>
      <c r="N170" s="405"/>
      <c r="O170" s="406"/>
      <c r="P170" s="406"/>
      <c r="Q170" s="406"/>
      <c r="R170" s="406"/>
      <c r="S170" s="406"/>
      <c r="T170" s="406"/>
    </row>
    <row r="171" spans="1:20" s="271" customFormat="1" ht="32.25" customHeight="1">
      <c r="A171" s="268" t="s">
        <v>380</v>
      </c>
      <c r="B171" s="269">
        <v>631311136</v>
      </c>
      <c r="C171" s="270" t="s">
        <v>2165</v>
      </c>
      <c r="D171" s="269" t="s">
        <v>52</v>
      </c>
      <c r="E171" s="669">
        <f>SUM(D172)</f>
        <v>3.9000000000000004</v>
      </c>
      <c r="F171" s="669"/>
      <c r="G171" s="200">
        <f>E171*F171</f>
        <v>0</v>
      </c>
      <c r="H171" s="85">
        <v>2.45329</v>
      </c>
      <c r="I171" s="201">
        <f>E171*H171</f>
        <v>9.567831</v>
      </c>
      <c r="J171" s="85">
        <v>0</v>
      </c>
      <c r="K171" s="85">
        <f>E171*J171</f>
        <v>0</v>
      </c>
      <c r="L171" s="85"/>
      <c r="M171" s="85"/>
      <c r="N171" s="202"/>
      <c r="O171" s="203"/>
      <c r="P171" s="203"/>
      <c r="Q171" s="203"/>
      <c r="R171" s="203"/>
      <c r="S171" s="203"/>
      <c r="T171" s="203"/>
    </row>
    <row r="172" spans="1:20" s="214" customFormat="1" ht="15" customHeight="1">
      <c r="A172" s="196"/>
      <c r="B172" s="205"/>
      <c r="C172" s="206" t="s">
        <v>2167</v>
      </c>
      <c r="D172" s="207">
        <f>19.5*0.2</f>
        <v>3.9000000000000004</v>
      </c>
      <c r="E172" s="208"/>
      <c r="F172" s="208"/>
      <c r="G172" s="209"/>
      <c r="H172" s="210"/>
      <c r="I172" s="210"/>
      <c r="J172" s="211"/>
      <c r="K172" s="85"/>
      <c r="L172" s="211"/>
      <c r="M172" s="211"/>
      <c r="N172" s="212"/>
      <c r="O172" s="213"/>
      <c r="P172" s="213"/>
      <c r="Q172" s="213"/>
      <c r="R172" s="213"/>
      <c r="S172" s="213"/>
      <c r="T172" s="213"/>
    </row>
    <row r="173" spans="1:20" s="244" customFormat="1" ht="23.25" customHeight="1">
      <c r="A173" s="268" t="s">
        <v>382</v>
      </c>
      <c r="B173" s="778">
        <v>631361821</v>
      </c>
      <c r="C173" s="735" t="s">
        <v>2166</v>
      </c>
      <c r="D173" s="736" t="s">
        <v>73</v>
      </c>
      <c r="E173" s="737">
        <f>E171*0.12</f>
        <v>0.468</v>
      </c>
      <c r="F173" s="737"/>
      <c r="G173" s="200">
        <f aca="true" t="shared" si="9" ref="G173:G179">E173*F173</f>
        <v>0</v>
      </c>
      <c r="H173" s="242">
        <v>1.04161</v>
      </c>
      <c r="I173" s="242">
        <f aca="true" t="shared" si="10" ref="I173:I178">E173*H173</f>
        <v>0.48747348</v>
      </c>
      <c r="J173" s="243">
        <v>0</v>
      </c>
      <c r="K173" s="243">
        <f aca="true" t="shared" si="11" ref="K173:K178">E173*J173</f>
        <v>0</v>
      </c>
      <c r="L173" s="243"/>
      <c r="M173" s="243"/>
      <c r="N173" s="405"/>
      <c r="O173" s="406"/>
      <c r="P173" s="406"/>
      <c r="Q173" s="406"/>
      <c r="R173" s="406"/>
      <c r="S173" s="406"/>
      <c r="T173" s="406"/>
    </row>
    <row r="174" spans="1:20" s="244" customFormat="1" ht="23.25" customHeight="1">
      <c r="A174" s="268" t="s">
        <v>782</v>
      </c>
      <c r="B174" s="778">
        <v>41135011</v>
      </c>
      <c r="C174" s="735" t="s">
        <v>2168</v>
      </c>
      <c r="D174" s="736" t="s">
        <v>46</v>
      </c>
      <c r="E174" s="737">
        <v>18.1</v>
      </c>
      <c r="F174" s="737"/>
      <c r="G174" s="200">
        <f t="shared" si="9"/>
        <v>0</v>
      </c>
      <c r="H174" s="242">
        <v>0.00533</v>
      </c>
      <c r="I174" s="242">
        <f t="shared" si="10"/>
        <v>0.096473</v>
      </c>
      <c r="J174" s="243">
        <v>0</v>
      </c>
      <c r="K174" s="243">
        <f t="shared" si="11"/>
        <v>0</v>
      </c>
      <c r="L174" s="243"/>
      <c r="M174" s="243"/>
      <c r="N174" s="405"/>
      <c r="O174" s="406"/>
      <c r="P174" s="406"/>
      <c r="Q174" s="406"/>
      <c r="R174" s="406"/>
      <c r="S174" s="406"/>
      <c r="T174" s="406"/>
    </row>
    <row r="175" spans="1:20" s="244" customFormat="1" ht="23.25" customHeight="1">
      <c r="A175" s="268" t="s">
        <v>783</v>
      </c>
      <c r="B175" s="778">
        <v>411351012</v>
      </c>
      <c r="C175" s="735" t="s">
        <v>2169</v>
      </c>
      <c r="D175" s="736" t="s">
        <v>46</v>
      </c>
      <c r="E175" s="737">
        <v>18.1</v>
      </c>
      <c r="F175" s="737"/>
      <c r="G175" s="200">
        <f t="shared" si="9"/>
        <v>0</v>
      </c>
      <c r="H175" s="242">
        <v>0</v>
      </c>
      <c r="I175" s="242">
        <f t="shared" si="10"/>
        <v>0</v>
      </c>
      <c r="J175" s="243">
        <v>0</v>
      </c>
      <c r="K175" s="243">
        <f t="shared" si="11"/>
        <v>0</v>
      </c>
      <c r="L175" s="243"/>
      <c r="M175" s="243"/>
      <c r="N175" s="405"/>
      <c r="O175" s="406"/>
      <c r="P175" s="406"/>
      <c r="Q175" s="406"/>
      <c r="R175" s="406"/>
      <c r="S175" s="406"/>
      <c r="T175" s="406"/>
    </row>
    <row r="176" spans="1:20" s="244" customFormat="1" ht="23.25" customHeight="1">
      <c r="A176" s="268" t="s">
        <v>784</v>
      </c>
      <c r="B176" s="778">
        <v>411354313</v>
      </c>
      <c r="C176" s="735" t="s">
        <v>2170</v>
      </c>
      <c r="D176" s="736" t="s">
        <v>46</v>
      </c>
      <c r="E176" s="737">
        <f>E174</f>
        <v>18.1</v>
      </c>
      <c r="F176" s="737"/>
      <c r="G176" s="200">
        <f t="shared" si="9"/>
        <v>0</v>
      </c>
      <c r="H176" s="242">
        <v>0.00088</v>
      </c>
      <c r="I176" s="242">
        <f t="shared" si="10"/>
        <v>0.015928</v>
      </c>
      <c r="J176" s="243">
        <v>0</v>
      </c>
      <c r="K176" s="243">
        <f t="shared" si="11"/>
        <v>0</v>
      </c>
      <c r="L176" s="243"/>
      <c r="M176" s="243"/>
      <c r="N176" s="405"/>
      <c r="O176" s="406"/>
      <c r="P176" s="406"/>
      <c r="Q176" s="406"/>
      <c r="R176" s="406"/>
      <c r="S176" s="406"/>
      <c r="T176" s="406"/>
    </row>
    <row r="177" spans="1:20" s="244" customFormat="1" ht="23.25" customHeight="1">
      <c r="A177" s="268" t="s">
        <v>785</v>
      </c>
      <c r="B177" s="778">
        <v>411354314</v>
      </c>
      <c r="C177" s="735" t="s">
        <v>2171</v>
      </c>
      <c r="D177" s="736" t="s">
        <v>46</v>
      </c>
      <c r="E177" s="737">
        <f>E174</f>
        <v>18.1</v>
      </c>
      <c r="F177" s="737"/>
      <c r="G177" s="200">
        <f t="shared" si="9"/>
        <v>0</v>
      </c>
      <c r="H177" s="242">
        <v>0</v>
      </c>
      <c r="I177" s="242">
        <f t="shared" si="10"/>
        <v>0</v>
      </c>
      <c r="J177" s="243">
        <v>0</v>
      </c>
      <c r="K177" s="243">
        <f t="shared" si="11"/>
        <v>0</v>
      </c>
      <c r="L177" s="243"/>
      <c r="M177" s="243"/>
      <c r="N177" s="405"/>
      <c r="O177" s="406"/>
      <c r="P177" s="406"/>
      <c r="Q177" s="406"/>
      <c r="R177" s="406"/>
      <c r="S177" s="406"/>
      <c r="T177" s="406"/>
    </row>
    <row r="178" spans="1:20" s="204" customFormat="1" ht="30.75" customHeight="1">
      <c r="A178" s="268" t="s">
        <v>786</v>
      </c>
      <c r="B178" s="197" t="s">
        <v>2087</v>
      </c>
      <c r="C178" s="136" t="s">
        <v>2088</v>
      </c>
      <c r="D178" s="198" t="s">
        <v>46</v>
      </c>
      <c r="E178" s="278">
        <v>55.1</v>
      </c>
      <c r="F178" s="278"/>
      <c r="G178" s="200">
        <f t="shared" si="9"/>
        <v>0</v>
      </c>
      <c r="H178" s="201">
        <v>9.432E-05</v>
      </c>
      <c r="I178" s="242">
        <f t="shared" si="10"/>
        <v>0.005197032000000001</v>
      </c>
      <c r="J178" s="243">
        <v>0</v>
      </c>
      <c r="K178" s="243">
        <f t="shared" si="11"/>
        <v>0</v>
      </c>
      <c r="L178" s="85"/>
      <c r="M178" s="85"/>
      <c r="N178" s="202"/>
      <c r="O178" s="203"/>
      <c r="P178" s="203"/>
      <c r="Q178" s="203"/>
      <c r="R178" s="203"/>
      <c r="S178" s="203"/>
      <c r="T178" s="203"/>
    </row>
    <row r="179" spans="1:20" s="204" customFormat="1" ht="22.5" customHeight="1">
      <c r="A179" s="268" t="s">
        <v>761</v>
      </c>
      <c r="B179" s="197">
        <v>777612103</v>
      </c>
      <c r="C179" s="136" t="s">
        <v>2163</v>
      </c>
      <c r="D179" s="198" t="s">
        <v>46</v>
      </c>
      <c r="E179" s="199">
        <v>55.1</v>
      </c>
      <c r="F179" s="199"/>
      <c r="G179" s="200">
        <f t="shared" si="9"/>
        <v>0</v>
      </c>
      <c r="H179" s="201"/>
      <c r="I179" s="201"/>
      <c r="J179" s="85"/>
      <c r="K179" s="85"/>
      <c r="L179" s="85"/>
      <c r="M179" s="85"/>
      <c r="N179" s="202"/>
      <c r="O179" s="203"/>
      <c r="P179" s="203"/>
      <c r="Q179" s="203"/>
      <c r="R179" s="203"/>
      <c r="S179" s="203"/>
      <c r="T179" s="203"/>
    </row>
    <row r="180" spans="1:7" ht="14" thickBot="1">
      <c r="A180" s="218"/>
      <c r="B180" s="412"/>
      <c r="C180" s="220"/>
      <c r="D180" s="221"/>
      <c r="E180" s="413"/>
      <c r="F180" s="414"/>
      <c r="G180" s="415"/>
    </row>
    <row r="181" spans="1:7" ht="12.75">
      <c r="A181" s="225"/>
      <c r="B181" s="226"/>
      <c r="C181" s="227" t="s">
        <v>113</v>
      </c>
      <c r="D181" s="226"/>
      <c r="E181" s="416"/>
      <c r="F181" s="417"/>
      <c r="G181" s="230">
        <f>SUBTOTAL(9,G149:G180)</f>
        <v>0</v>
      </c>
    </row>
    <row r="182" spans="1:7" ht="13" thickBot="1">
      <c r="A182" s="179"/>
      <c r="B182" s="180"/>
      <c r="C182" s="180"/>
      <c r="D182" s="180"/>
      <c r="E182" s="180"/>
      <c r="F182" s="180"/>
      <c r="G182" s="396"/>
    </row>
    <row r="183" spans="1:18" ht="13" thickBot="1">
      <c r="A183" s="182" t="s">
        <v>170</v>
      </c>
      <c r="B183" s="183"/>
      <c r="C183" s="184" t="s">
        <v>167</v>
      </c>
      <c r="D183" s="185"/>
      <c r="E183" s="186"/>
      <c r="F183" s="187"/>
      <c r="G183" s="188"/>
      <c r="H183" s="77"/>
      <c r="I183" s="77"/>
      <c r="J183" s="77"/>
      <c r="K183" s="77"/>
      <c r="L183" s="77"/>
      <c r="M183" s="77"/>
      <c r="N183" s="78"/>
      <c r="O183" s="791"/>
      <c r="P183" s="798"/>
      <c r="Q183" s="798"/>
      <c r="R183" s="799"/>
    </row>
    <row r="184" spans="1:20" ht="12.75">
      <c r="A184" s="189"/>
      <c r="B184" s="231"/>
      <c r="C184" s="232"/>
      <c r="D184" s="233"/>
      <c r="E184" s="234"/>
      <c r="F184" s="235"/>
      <c r="G184" s="236"/>
      <c r="H184" s="77"/>
      <c r="I184" s="77"/>
      <c r="J184" s="77"/>
      <c r="K184" s="77"/>
      <c r="L184" s="77"/>
      <c r="M184" s="77"/>
      <c r="N184" s="78"/>
      <c r="O184" s="79"/>
      <c r="P184" s="79"/>
      <c r="Q184" s="79"/>
      <c r="R184" s="79"/>
      <c r="S184" s="79"/>
      <c r="T184" s="79"/>
    </row>
    <row r="185" spans="1:20" s="271" customFormat="1" ht="19.5" customHeight="1">
      <c r="A185" s="268" t="s">
        <v>171</v>
      </c>
      <c r="B185" s="674" t="s">
        <v>169</v>
      </c>
      <c r="C185" s="691" t="s">
        <v>1114</v>
      </c>
      <c r="D185" s="674" t="s">
        <v>73</v>
      </c>
      <c r="E185" s="669">
        <f>I185</f>
        <v>171.55891724307006</v>
      </c>
      <c r="F185" s="669"/>
      <c r="G185" s="200">
        <f>E185*F185</f>
        <v>0</v>
      </c>
      <c r="H185" s="85"/>
      <c r="I185" s="722">
        <f>SUM(I82:I184)</f>
        <v>171.55891724307006</v>
      </c>
      <c r="J185" s="85"/>
      <c r="K185" s="85"/>
      <c r="L185" s="85"/>
      <c r="M185" s="85"/>
      <c r="N185" s="202"/>
      <c r="O185" s="203"/>
      <c r="P185" s="203"/>
      <c r="Q185" s="203"/>
      <c r="R185" s="203"/>
      <c r="S185" s="203"/>
      <c r="T185" s="203"/>
    </row>
    <row r="186" spans="1:20" ht="14" thickBot="1">
      <c r="A186" s="218"/>
      <c r="B186" s="219"/>
      <c r="C186" s="220"/>
      <c r="D186" s="221"/>
      <c r="E186" s="222"/>
      <c r="F186" s="223"/>
      <c r="G186" s="224"/>
      <c r="H186" s="77"/>
      <c r="I186" s="77"/>
      <c r="J186" s="77"/>
      <c r="K186" s="77"/>
      <c r="L186" s="77"/>
      <c r="M186" s="77"/>
      <c r="N186" s="78"/>
      <c r="O186" s="580"/>
      <c r="P186" s="580"/>
      <c r="Q186" s="580"/>
      <c r="R186" s="580"/>
      <c r="S186" s="580"/>
      <c r="T186" s="580"/>
    </row>
    <row r="187" spans="1:20" ht="13" thickBot="1">
      <c r="A187" s="225"/>
      <c r="B187" s="226"/>
      <c r="C187" s="227" t="s">
        <v>113</v>
      </c>
      <c r="D187" s="226"/>
      <c r="E187" s="228"/>
      <c r="F187" s="229"/>
      <c r="G187" s="230">
        <f>SUBTOTAL(9,G184:G186)</f>
        <v>0</v>
      </c>
      <c r="H187" s="77"/>
      <c r="I187" s="77"/>
      <c r="J187" s="77"/>
      <c r="K187" s="77"/>
      <c r="L187" s="77"/>
      <c r="M187" s="77"/>
      <c r="N187" s="78"/>
      <c r="O187" s="79"/>
      <c r="P187" s="79"/>
      <c r="Q187" s="79"/>
      <c r="R187" s="79"/>
      <c r="S187" s="79"/>
      <c r="T187" s="79"/>
    </row>
    <row r="188" spans="1:20" ht="13" thickBot="1">
      <c r="A188" s="179"/>
      <c r="B188" s="180"/>
      <c r="C188" s="180"/>
      <c r="D188" s="180"/>
      <c r="E188" s="180"/>
      <c r="F188" s="180"/>
      <c r="G188" s="181"/>
      <c r="H188" s="77"/>
      <c r="I188" s="77"/>
      <c r="J188" s="77"/>
      <c r="K188" s="77"/>
      <c r="L188" s="77"/>
      <c r="M188" s="77"/>
      <c r="N188" s="78"/>
      <c r="O188" s="79"/>
      <c r="P188" s="79"/>
      <c r="Q188" s="79"/>
      <c r="R188" s="79"/>
      <c r="S188" s="79"/>
      <c r="T188" s="79"/>
    </row>
    <row r="189" spans="1:20" ht="13" thickBot="1">
      <c r="A189" s="182" t="s">
        <v>183</v>
      </c>
      <c r="B189" s="183"/>
      <c r="C189" s="184" t="s">
        <v>1057</v>
      </c>
      <c r="D189" s="185"/>
      <c r="E189" s="186"/>
      <c r="F189" s="187"/>
      <c r="G189" s="188"/>
      <c r="H189" s="77"/>
      <c r="I189" s="77"/>
      <c r="J189" s="77"/>
      <c r="K189" s="77"/>
      <c r="L189" s="77"/>
      <c r="M189" s="77"/>
      <c r="N189" s="78"/>
      <c r="O189" s="79"/>
      <c r="P189" s="79"/>
      <c r="Q189" s="79"/>
      <c r="R189" s="79"/>
      <c r="S189" s="79"/>
      <c r="T189" s="79"/>
    </row>
    <row r="190" spans="1:20" ht="12.75">
      <c r="A190" s="189"/>
      <c r="B190" s="231"/>
      <c r="C190" s="232"/>
      <c r="D190" s="233"/>
      <c r="E190" s="234"/>
      <c r="F190" s="235"/>
      <c r="G190" s="236"/>
      <c r="H190" s="77"/>
      <c r="I190" s="77"/>
      <c r="J190" s="77"/>
      <c r="K190" s="77"/>
      <c r="L190" s="77"/>
      <c r="M190" s="77"/>
      <c r="N190" s="78"/>
      <c r="O190" s="79"/>
      <c r="P190" s="79"/>
      <c r="Q190" s="79"/>
      <c r="R190" s="79"/>
      <c r="S190" s="79"/>
      <c r="T190" s="79"/>
    </row>
    <row r="191" spans="1:20" s="204" customFormat="1" ht="21.75" customHeight="1">
      <c r="A191" s="196" t="s">
        <v>185</v>
      </c>
      <c r="B191" s="197" t="s">
        <v>2089</v>
      </c>
      <c r="C191" s="136" t="s">
        <v>2090</v>
      </c>
      <c r="D191" s="198" t="s">
        <v>116</v>
      </c>
      <c r="E191" s="199">
        <f>SUM(D192)</f>
        <v>96</v>
      </c>
      <c r="F191" s="199"/>
      <c r="G191" s="200">
        <f>E191*F191</f>
        <v>0</v>
      </c>
      <c r="H191" s="201">
        <v>0</v>
      </c>
      <c r="I191" s="201">
        <f>E191*H191</f>
        <v>0</v>
      </c>
      <c r="J191" s="85">
        <v>0.024</v>
      </c>
      <c r="K191" s="85">
        <f>E191*J191</f>
        <v>2.3040000000000003</v>
      </c>
      <c r="L191" s="85"/>
      <c r="M191" s="85"/>
      <c r="N191" s="202"/>
      <c r="O191" s="203"/>
      <c r="P191" s="203"/>
      <c r="Q191" s="203"/>
      <c r="R191" s="203"/>
      <c r="S191" s="203"/>
      <c r="T191" s="203"/>
    </row>
    <row r="192" spans="1:20" s="214" customFormat="1" ht="15" customHeight="1">
      <c r="A192" s="196"/>
      <c r="B192" s="205"/>
      <c r="C192" s="206" t="s">
        <v>2108</v>
      </c>
      <c r="D192" s="207">
        <f>16*6</f>
        <v>96</v>
      </c>
      <c r="E192" s="208"/>
      <c r="F192" s="208"/>
      <c r="G192" s="209"/>
      <c r="H192" s="210"/>
      <c r="I192" s="210"/>
      <c r="J192" s="211"/>
      <c r="K192" s="85"/>
      <c r="L192" s="211"/>
      <c r="M192" s="211"/>
      <c r="N192" s="212"/>
      <c r="O192" s="213"/>
      <c r="P192" s="213"/>
      <c r="Q192" s="213"/>
      <c r="R192" s="213"/>
      <c r="S192" s="213"/>
      <c r="T192" s="213"/>
    </row>
    <row r="193" spans="1:20" s="204" customFormat="1" ht="23.25" customHeight="1">
      <c r="A193" s="196" t="s">
        <v>187</v>
      </c>
      <c r="B193" s="197" t="s">
        <v>2091</v>
      </c>
      <c r="C193" s="136" t="s">
        <v>2092</v>
      </c>
      <c r="D193" s="198" t="s">
        <v>46</v>
      </c>
      <c r="E193" s="199">
        <v>75</v>
      </c>
      <c r="F193" s="199"/>
      <c r="G193" s="200">
        <f>E193*F193</f>
        <v>0</v>
      </c>
      <c r="H193" s="201">
        <v>0</v>
      </c>
      <c r="I193" s="201">
        <f>E193*H193</f>
        <v>0</v>
      </c>
      <c r="J193" s="85">
        <v>0.015</v>
      </c>
      <c r="K193" s="85">
        <f>E193*J193</f>
        <v>1.125</v>
      </c>
      <c r="L193" s="85"/>
      <c r="M193" s="85"/>
      <c r="N193" s="202"/>
      <c r="O193" s="203"/>
      <c r="P193" s="203"/>
      <c r="Q193" s="203"/>
      <c r="R193" s="203"/>
      <c r="S193" s="203"/>
      <c r="T193" s="203"/>
    </row>
    <row r="194" spans="1:20" s="204" customFormat="1" ht="23.25" customHeight="1">
      <c r="A194" s="196" t="s">
        <v>189</v>
      </c>
      <c r="B194" s="197" t="s">
        <v>2093</v>
      </c>
      <c r="C194" s="136" t="s">
        <v>2094</v>
      </c>
      <c r="D194" s="198" t="s">
        <v>116</v>
      </c>
      <c r="E194" s="199">
        <f>SUM(D195)</f>
        <v>19.2</v>
      </c>
      <c r="F194" s="199"/>
      <c r="G194" s="200">
        <f>E194*F194</f>
        <v>0</v>
      </c>
      <c r="H194" s="201">
        <v>0</v>
      </c>
      <c r="I194" s="201">
        <f>E194*H194</f>
        <v>0</v>
      </c>
      <c r="J194" s="85">
        <v>0.017</v>
      </c>
      <c r="K194" s="85">
        <f>E194*J194</f>
        <v>0.3264</v>
      </c>
      <c r="L194" s="85"/>
      <c r="M194" s="85"/>
      <c r="N194" s="202"/>
      <c r="O194" s="203"/>
      <c r="P194" s="203"/>
      <c r="Q194" s="203"/>
      <c r="R194" s="203"/>
      <c r="S194" s="203"/>
      <c r="T194" s="203"/>
    </row>
    <row r="195" spans="1:20" s="214" customFormat="1" ht="15" customHeight="1">
      <c r="A195" s="196"/>
      <c r="B195" s="205"/>
      <c r="C195" s="206" t="s">
        <v>2117</v>
      </c>
      <c r="D195" s="207">
        <f>4*4.8</f>
        <v>19.2</v>
      </c>
      <c r="E195" s="208"/>
      <c r="F195" s="208"/>
      <c r="G195" s="209"/>
      <c r="H195" s="210"/>
      <c r="I195" s="210"/>
      <c r="J195" s="211"/>
      <c r="K195" s="85"/>
      <c r="L195" s="211"/>
      <c r="M195" s="211"/>
      <c r="N195" s="212"/>
      <c r="O195" s="213"/>
      <c r="P195" s="213"/>
      <c r="Q195" s="213"/>
      <c r="R195" s="213"/>
      <c r="S195" s="213"/>
      <c r="T195" s="213"/>
    </row>
    <row r="196" spans="1:20" s="204" customFormat="1" ht="27.75" customHeight="1">
      <c r="A196" s="196" t="s">
        <v>282</v>
      </c>
      <c r="B196" s="197" t="s">
        <v>1451</v>
      </c>
      <c r="C196" s="136" t="s">
        <v>1452</v>
      </c>
      <c r="D196" s="198" t="s">
        <v>46</v>
      </c>
      <c r="E196" s="199">
        <f>SUM(D197)</f>
        <v>12.5</v>
      </c>
      <c r="F196" s="199"/>
      <c r="G196" s="200">
        <f>E196*F196</f>
        <v>0</v>
      </c>
      <c r="H196" s="201">
        <v>0</v>
      </c>
      <c r="I196" s="201">
        <f>E196*H196</f>
        <v>0</v>
      </c>
      <c r="J196" s="85">
        <v>0.04</v>
      </c>
      <c r="K196" s="85">
        <f>E196*J196</f>
        <v>0.5</v>
      </c>
      <c r="L196" s="85"/>
      <c r="M196" s="85"/>
      <c r="N196" s="202"/>
      <c r="O196" s="203"/>
      <c r="P196" s="203"/>
      <c r="Q196" s="203"/>
      <c r="R196" s="203"/>
      <c r="S196" s="203"/>
      <c r="T196" s="203"/>
    </row>
    <row r="197" spans="1:20" s="214" customFormat="1" ht="15" customHeight="1">
      <c r="A197" s="196"/>
      <c r="B197" s="205"/>
      <c r="C197" s="206" t="s">
        <v>2118</v>
      </c>
      <c r="D197" s="207">
        <f>2.4*5.2+0.02</f>
        <v>12.5</v>
      </c>
      <c r="E197" s="208"/>
      <c r="F197" s="208"/>
      <c r="G197" s="209"/>
      <c r="H197" s="210"/>
      <c r="I197" s="210"/>
      <c r="J197" s="211"/>
      <c r="K197" s="85"/>
      <c r="L197" s="211"/>
      <c r="M197" s="211"/>
      <c r="N197" s="212"/>
      <c r="O197" s="213"/>
      <c r="P197" s="213"/>
      <c r="Q197" s="213"/>
      <c r="R197" s="213"/>
      <c r="S197" s="213"/>
      <c r="T197" s="213"/>
    </row>
    <row r="198" spans="1:20" ht="14" thickBot="1">
      <c r="A198" s="218"/>
      <c r="B198" s="219"/>
      <c r="C198" s="220"/>
      <c r="D198" s="221"/>
      <c r="E198" s="222"/>
      <c r="F198" s="223"/>
      <c r="G198" s="224"/>
      <c r="H198" s="77"/>
      <c r="I198" s="77"/>
      <c r="J198" s="77"/>
      <c r="K198" s="911">
        <f>SUM(K190:K197)</f>
        <v>4.2554</v>
      </c>
      <c r="L198" s="77"/>
      <c r="M198" s="77"/>
      <c r="N198" s="78"/>
      <c r="O198" s="79"/>
      <c r="P198" s="79"/>
      <c r="Q198" s="79"/>
      <c r="R198" s="79"/>
      <c r="S198" s="79"/>
      <c r="T198" s="79"/>
    </row>
    <row r="199" spans="1:20" ht="18" customHeight="1">
      <c r="A199" s="225"/>
      <c r="B199" s="226"/>
      <c r="C199" s="227" t="s">
        <v>113</v>
      </c>
      <c r="D199" s="226"/>
      <c r="E199" s="228"/>
      <c r="F199" s="229"/>
      <c r="G199" s="230">
        <f>SUBTOTAL(9,G190:G198)</f>
        <v>0</v>
      </c>
      <c r="H199" s="77"/>
      <c r="I199" s="77"/>
      <c r="J199" s="77"/>
      <c r="K199" s="77"/>
      <c r="L199" s="77"/>
      <c r="M199" s="77"/>
      <c r="N199" s="78"/>
      <c r="O199" s="79"/>
      <c r="P199" s="79"/>
      <c r="Q199" s="79"/>
      <c r="R199" s="79"/>
      <c r="S199" s="79"/>
      <c r="T199" s="79"/>
    </row>
    <row r="200" spans="1:20" ht="13" thickBot="1">
      <c r="A200" s="179"/>
      <c r="B200" s="180"/>
      <c r="C200" s="180"/>
      <c r="D200" s="180"/>
      <c r="E200" s="180"/>
      <c r="F200" s="180"/>
      <c r="G200" s="181"/>
      <c r="H200" s="77"/>
      <c r="I200" s="77"/>
      <c r="J200" s="77"/>
      <c r="K200" s="77"/>
      <c r="L200" s="77"/>
      <c r="M200" s="77"/>
      <c r="N200" s="78"/>
      <c r="O200" s="79"/>
      <c r="P200" s="79"/>
      <c r="Q200" s="79"/>
      <c r="R200" s="79"/>
      <c r="S200" s="79"/>
      <c r="T200" s="79"/>
    </row>
    <row r="201" spans="1:20" ht="13" thickBot="1">
      <c r="A201" s="182" t="s">
        <v>139</v>
      </c>
      <c r="B201" s="910">
        <v>764</v>
      </c>
      <c r="C201" s="184" t="s">
        <v>1322</v>
      </c>
      <c r="D201" s="185"/>
      <c r="E201" s="186"/>
      <c r="F201" s="187"/>
      <c r="G201" s="188"/>
      <c r="H201" s="77"/>
      <c r="I201" s="77"/>
      <c r="J201" s="77"/>
      <c r="K201" s="77"/>
      <c r="L201" s="77"/>
      <c r="M201" s="77"/>
      <c r="N201" s="78"/>
      <c r="O201" s="79"/>
      <c r="P201" s="79"/>
      <c r="Q201" s="79"/>
      <c r="R201" s="79"/>
      <c r="S201" s="79"/>
      <c r="T201" s="79"/>
    </row>
    <row r="202" spans="1:20" ht="12.75">
      <c r="A202" s="189"/>
      <c r="B202" s="231"/>
      <c r="C202" s="232"/>
      <c r="D202" s="233"/>
      <c r="E202" s="234"/>
      <c r="F202" s="235"/>
      <c r="G202" s="236"/>
      <c r="H202" s="77"/>
      <c r="I202" s="77"/>
      <c r="J202" s="77"/>
      <c r="K202" s="77"/>
      <c r="L202" s="77"/>
      <c r="M202" s="77"/>
      <c r="N202" s="78"/>
      <c r="O202" s="79"/>
      <c r="P202" s="79"/>
      <c r="Q202" s="79"/>
      <c r="R202" s="79"/>
      <c r="S202" s="79"/>
      <c r="T202" s="79"/>
    </row>
    <row r="203" spans="1:20" s="204" customFormat="1" ht="24" customHeight="1">
      <c r="A203" s="196" t="s">
        <v>192</v>
      </c>
      <c r="B203" s="197" t="s">
        <v>2095</v>
      </c>
      <c r="C203" s="136" t="s">
        <v>2096</v>
      </c>
      <c r="D203" s="198" t="s">
        <v>116</v>
      </c>
      <c r="E203" s="199">
        <v>12.5</v>
      </c>
      <c r="F203" s="199"/>
      <c r="G203" s="200">
        <f>E203*F203</f>
        <v>0</v>
      </c>
      <c r="H203" s="201">
        <v>0</v>
      </c>
      <c r="I203" s="201">
        <f>E203*H203</f>
        <v>0</v>
      </c>
      <c r="J203" s="85">
        <v>0.00176</v>
      </c>
      <c r="K203" s="85">
        <f>E203*J203</f>
        <v>0.022000000000000002</v>
      </c>
      <c r="L203" s="85"/>
      <c r="M203" s="85"/>
      <c r="N203" s="202"/>
      <c r="O203" s="203"/>
      <c r="P203" s="203"/>
      <c r="Q203" s="203"/>
      <c r="R203" s="203"/>
      <c r="S203" s="203"/>
      <c r="T203" s="203"/>
    </row>
    <row r="204" spans="1:20" s="204" customFormat="1" ht="23.25" customHeight="1">
      <c r="A204" s="196" t="s">
        <v>193</v>
      </c>
      <c r="B204" s="197" t="s">
        <v>2097</v>
      </c>
      <c r="C204" s="136" t="s">
        <v>2098</v>
      </c>
      <c r="D204" s="198" t="s">
        <v>116</v>
      </c>
      <c r="E204" s="199">
        <v>12.5</v>
      </c>
      <c r="F204" s="199"/>
      <c r="G204" s="200">
        <f>E204*F204</f>
        <v>0</v>
      </c>
      <c r="H204" s="201">
        <v>0</v>
      </c>
      <c r="I204" s="201">
        <f>E204*H204</f>
        <v>0</v>
      </c>
      <c r="J204" s="85">
        <v>0.0026</v>
      </c>
      <c r="K204" s="85">
        <f>E204*J204</f>
        <v>0.0325</v>
      </c>
      <c r="L204" s="85"/>
      <c r="M204" s="85"/>
      <c r="N204" s="202"/>
      <c r="O204" s="203"/>
      <c r="P204" s="203"/>
      <c r="Q204" s="203"/>
      <c r="R204" s="203"/>
      <c r="S204" s="203"/>
      <c r="T204" s="203"/>
    </row>
    <row r="205" spans="1:20" s="204" customFormat="1" ht="22.5" customHeight="1">
      <c r="A205" s="196" t="s">
        <v>194</v>
      </c>
      <c r="B205" s="197" t="s">
        <v>1447</v>
      </c>
      <c r="C205" s="136" t="s">
        <v>1448</v>
      </c>
      <c r="D205" s="198" t="s">
        <v>116</v>
      </c>
      <c r="E205" s="199">
        <v>2.5</v>
      </c>
      <c r="F205" s="199"/>
      <c r="G205" s="200">
        <f>E205*F205</f>
        <v>0</v>
      </c>
      <c r="H205" s="201">
        <v>0</v>
      </c>
      <c r="I205" s="201">
        <f>E205*H205</f>
        <v>0</v>
      </c>
      <c r="J205" s="85">
        <v>0.00394</v>
      </c>
      <c r="K205" s="85">
        <f>E205*J205</f>
        <v>0.00985</v>
      </c>
      <c r="L205" s="85"/>
      <c r="M205" s="85"/>
      <c r="N205" s="202"/>
      <c r="O205" s="203"/>
      <c r="P205" s="203"/>
      <c r="Q205" s="203"/>
      <c r="R205" s="203"/>
      <c r="S205" s="203"/>
      <c r="T205" s="203"/>
    </row>
    <row r="206" spans="1:20" s="204" customFormat="1" ht="23.25" customHeight="1">
      <c r="A206" s="196" t="s">
        <v>195</v>
      </c>
      <c r="B206" s="197" t="s">
        <v>2107</v>
      </c>
      <c r="C206" s="136" t="s">
        <v>1306</v>
      </c>
      <c r="D206" s="198" t="s">
        <v>73</v>
      </c>
      <c r="E206" s="199">
        <v>0</v>
      </c>
      <c r="F206" s="199"/>
      <c r="G206" s="200">
        <f>E206*F206</f>
        <v>0</v>
      </c>
      <c r="H206" s="201"/>
      <c r="I206" s="201"/>
      <c r="J206" s="85"/>
      <c r="K206" s="912">
        <f>SUM(K203:K205)</f>
        <v>0.06435</v>
      </c>
      <c r="L206" s="85"/>
      <c r="M206" s="85"/>
      <c r="N206" s="202"/>
      <c r="O206" s="203"/>
      <c r="P206" s="203"/>
      <c r="Q206" s="203"/>
      <c r="R206" s="203"/>
      <c r="S206" s="203"/>
      <c r="T206" s="203"/>
    </row>
    <row r="207" spans="1:20" ht="14" thickBot="1">
      <c r="A207" s="218"/>
      <c r="B207" s="219"/>
      <c r="C207" s="220"/>
      <c r="D207" s="221"/>
      <c r="E207" s="222"/>
      <c r="F207" s="223"/>
      <c r="G207" s="224"/>
      <c r="H207" s="77"/>
      <c r="I207" s="77"/>
      <c r="J207" s="77"/>
      <c r="K207" s="77"/>
      <c r="L207" s="77"/>
      <c r="M207" s="77"/>
      <c r="N207" s="78"/>
      <c r="O207" s="79"/>
      <c r="P207" s="79"/>
      <c r="Q207" s="79"/>
      <c r="R207" s="79"/>
      <c r="S207" s="79"/>
      <c r="T207" s="79"/>
    </row>
    <row r="208" spans="1:20" ht="18" customHeight="1" thickBot="1">
      <c r="A208" s="225"/>
      <c r="B208" s="226"/>
      <c r="C208" s="227" t="s">
        <v>113</v>
      </c>
      <c r="D208" s="226"/>
      <c r="E208" s="228"/>
      <c r="F208" s="229"/>
      <c r="G208" s="230">
        <f>SUBTOTAL(9,G202:G207)</f>
        <v>0</v>
      </c>
      <c r="H208" s="77"/>
      <c r="I208" s="77"/>
      <c r="J208" s="77"/>
      <c r="K208" s="77"/>
      <c r="L208" s="77"/>
      <c r="M208" s="77"/>
      <c r="N208" s="78"/>
      <c r="O208" s="79"/>
      <c r="P208" s="79"/>
      <c r="Q208" s="79"/>
      <c r="R208" s="79"/>
      <c r="S208" s="79"/>
      <c r="T208" s="79"/>
    </row>
    <row r="209" spans="1:20" ht="13" thickBot="1">
      <c r="A209" s="179"/>
      <c r="B209" s="180"/>
      <c r="C209" s="180"/>
      <c r="D209" s="180"/>
      <c r="E209" s="180"/>
      <c r="F209" s="180"/>
      <c r="G209" s="181"/>
      <c r="H209" s="77"/>
      <c r="I209" s="77"/>
      <c r="J209" s="77"/>
      <c r="K209" s="77"/>
      <c r="L209" s="77"/>
      <c r="M209" s="77"/>
      <c r="N209" s="78"/>
      <c r="O209" s="79"/>
      <c r="P209" s="79"/>
      <c r="Q209" s="79"/>
      <c r="R209" s="79"/>
      <c r="S209" s="79"/>
      <c r="T209" s="79"/>
    </row>
    <row r="210" spans="1:20" ht="13" thickBot="1">
      <c r="A210" s="182" t="s">
        <v>197</v>
      </c>
      <c r="B210" s="910" t="s">
        <v>2099</v>
      </c>
      <c r="C210" s="184" t="s">
        <v>2100</v>
      </c>
      <c r="D210" s="185"/>
      <c r="E210" s="186"/>
      <c r="F210" s="187"/>
      <c r="G210" s="188"/>
      <c r="H210" s="77"/>
      <c r="I210" s="77"/>
      <c r="J210" s="77"/>
      <c r="K210" s="77"/>
      <c r="L210" s="77"/>
      <c r="M210" s="77"/>
      <c r="N210" s="78"/>
      <c r="O210" s="79"/>
      <c r="P210" s="79"/>
      <c r="Q210" s="79"/>
      <c r="R210" s="79"/>
      <c r="S210" s="79"/>
      <c r="T210" s="79"/>
    </row>
    <row r="211" spans="1:20" ht="12.75">
      <c r="A211" s="189"/>
      <c r="B211" s="231"/>
      <c r="C211" s="232"/>
      <c r="D211" s="233"/>
      <c r="E211" s="234"/>
      <c r="F211" s="235"/>
      <c r="G211" s="236"/>
      <c r="H211" s="77"/>
      <c r="I211" s="77"/>
      <c r="J211" s="77"/>
      <c r="K211" s="77"/>
      <c r="L211" s="77"/>
      <c r="M211" s="77"/>
      <c r="N211" s="78"/>
      <c r="O211" s="79"/>
      <c r="P211" s="79"/>
      <c r="Q211" s="79"/>
      <c r="R211" s="79"/>
      <c r="S211" s="79"/>
      <c r="T211" s="79"/>
    </row>
    <row r="212" spans="1:20" s="204" customFormat="1" ht="23.25" customHeight="1">
      <c r="A212" s="196" t="s">
        <v>198</v>
      </c>
      <c r="B212" s="197" t="s">
        <v>2101</v>
      </c>
      <c r="C212" s="136" t="s">
        <v>2102</v>
      </c>
      <c r="D212" s="198" t="s">
        <v>46</v>
      </c>
      <c r="E212" s="199">
        <f>SUM(D213)</f>
        <v>75</v>
      </c>
      <c r="F212" s="199"/>
      <c r="G212" s="200">
        <f>E212*F212</f>
        <v>0</v>
      </c>
      <c r="H212" s="201">
        <v>0</v>
      </c>
      <c r="I212" s="201">
        <f>E212*H212</f>
        <v>0</v>
      </c>
      <c r="J212" s="85">
        <v>0.01533</v>
      </c>
      <c r="K212" s="85">
        <f>E212*J212</f>
        <v>1.14975</v>
      </c>
      <c r="L212" s="85"/>
      <c r="M212" s="85"/>
      <c r="N212" s="202"/>
      <c r="O212" s="203"/>
      <c r="P212" s="203"/>
      <c r="Q212" s="203"/>
      <c r="R212" s="203"/>
      <c r="S212" s="203"/>
      <c r="T212" s="203"/>
    </row>
    <row r="213" spans="1:20" s="214" customFormat="1" ht="15" customHeight="1">
      <c r="A213" s="196"/>
      <c r="B213" s="205"/>
      <c r="C213" s="206" t="s">
        <v>2105</v>
      </c>
      <c r="D213" s="207">
        <f>12.5*6</f>
        <v>75</v>
      </c>
      <c r="E213" s="208"/>
      <c r="F213" s="208"/>
      <c r="G213" s="209"/>
      <c r="H213" s="210"/>
      <c r="I213" s="210"/>
      <c r="J213" s="211"/>
      <c r="K213" s="85"/>
      <c r="L213" s="211"/>
      <c r="M213" s="211"/>
      <c r="N213" s="212"/>
      <c r="O213" s="213"/>
      <c r="P213" s="213"/>
      <c r="Q213" s="213"/>
      <c r="R213" s="213"/>
      <c r="S213" s="213"/>
      <c r="T213" s="213"/>
    </row>
    <row r="214" spans="1:20" s="204" customFormat="1" ht="33" customHeight="1">
      <c r="A214" s="196" t="s">
        <v>199</v>
      </c>
      <c r="B214" s="197" t="s">
        <v>2103</v>
      </c>
      <c r="C214" s="136" t="s">
        <v>2104</v>
      </c>
      <c r="D214" s="198" t="s">
        <v>116</v>
      </c>
      <c r="E214" s="199">
        <v>12</v>
      </c>
      <c r="F214" s="199"/>
      <c r="G214" s="200">
        <f>E214*F214</f>
        <v>0</v>
      </c>
      <c r="H214" s="201">
        <v>0</v>
      </c>
      <c r="I214" s="201">
        <f>E214*H214</f>
        <v>0</v>
      </c>
      <c r="J214" s="85">
        <v>0.00797</v>
      </c>
      <c r="K214" s="85">
        <f>E214*J214</f>
        <v>0.09564</v>
      </c>
      <c r="L214" s="85"/>
      <c r="M214" s="85"/>
      <c r="N214" s="202"/>
      <c r="O214" s="203"/>
      <c r="P214" s="203"/>
      <c r="Q214" s="203"/>
      <c r="R214" s="203"/>
      <c r="S214" s="203"/>
      <c r="T214" s="203"/>
    </row>
    <row r="215" spans="1:20" ht="14" thickBot="1">
      <c r="A215" s="218"/>
      <c r="B215" s="219"/>
      <c r="C215" s="220"/>
      <c r="D215" s="221"/>
      <c r="E215" s="222" t="s">
        <v>2106</v>
      </c>
      <c r="F215" s="223"/>
      <c r="G215" s="224"/>
      <c r="H215" s="77"/>
      <c r="I215" s="77"/>
      <c r="J215" s="77"/>
      <c r="K215" s="77"/>
      <c r="L215" s="77"/>
      <c r="M215" s="77"/>
      <c r="N215" s="78"/>
      <c r="O215" s="79"/>
      <c r="P215" s="79"/>
      <c r="Q215" s="79"/>
      <c r="R215" s="79"/>
      <c r="S215" s="79"/>
      <c r="T215" s="79"/>
    </row>
    <row r="216" spans="1:20" ht="18" customHeight="1" thickBot="1">
      <c r="A216" s="225"/>
      <c r="B216" s="226"/>
      <c r="C216" s="227" t="s">
        <v>113</v>
      </c>
      <c r="D216" s="226"/>
      <c r="E216" s="228"/>
      <c r="F216" s="229"/>
      <c r="G216" s="230">
        <f>SUBTOTAL(9,G211:G215)</f>
        <v>0</v>
      </c>
      <c r="H216" s="77"/>
      <c r="I216" s="77"/>
      <c r="J216" s="77"/>
      <c r="K216" s="911">
        <f>SUM(K210:K215)</f>
        <v>1.24539</v>
      </c>
      <c r="L216" s="77"/>
      <c r="M216" s="77"/>
      <c r="N216" s="78"/>
      <c r="O216" s="79"/>
      <c r="P216" s="79"/>
      <c r="Q216" s="79"/>
      <c r="R216" s="79"/>
      <c r="S216" s="79"/>
      <c r="T216" s="79"/>
    </row>
    <row r="217" spans="1:20" ht="13" thickBot="1">
      <c r="A217" s="179"/>
      <c r="B217" s="180"/>
      <c r="C217" s="180"/>
      <c r="D217" s="180"/>
      <c r="E217" s="180"/>
      <c r="F217" s="180"/>
      <c r="G217" s="181"/>
      <c r="H217" s="77"/>
      <c r="I217" s="77"/>
      <c r="J217" s="77"/>
      <c r="K217" s="77"/>
      <c r="L217" s="77"/>
      <c r="M217" s="77"/>
      <c r="N217" s="78"/>
      <c r="O217" s="79"/>
      <c r="P217" s="79"/>
      <c r="Q217" s="79"/>
      <c r="R217" s="79"/>
      <c r="S217" s="79"/>
      <c r="T217" s="79"/>
    </row>
    <row r="218" spans="1:20" ht="17.25" customHeight="1" thickBot="1">
      <c r="A218" s="182" t="s">
        <v>228</v>
      </c>
      <c r="B218" s="183"/>
      <c r="C218" s="184" t="s">
        <v>1259</v>
      </c>
      <c r="D218" s="185"/>
      <c r="E218" s="186"/>
      <c r="F218" s="187"/>
      <c r="G218" s="188"/>
      <c r="H218" s="77"/>
      <c r="I218" s="77"/>
      <c r="J218" s="77"/>
      <c r="K218" s="77"/>
      <c r="L218" s="77"/>
      <c r="M218" s="77"/>
      <c r="N218" s="78"/>
      <c r="O218" s="791"/>
      <c r="P218" s="798"/>
      <c r="Q218" s="798"/>
      <c r="R218" s="809"/>
      <c r="S218" s="79"/>
      <c r="T218" s="79"/>
    </row>
    <row r="219" spans="1:20" ht="12.75">
      <c r="A219" s="189"/>
      <c r="B219" s="231"/>
      <c r="C219" s="232"/>
      <c r="D219" s="233"/>
      <c r="E219" s="234"/>
      <c r="F219" s="235"/>
      <c r="G219" s="236"/>
      <c r="H219" s="77"/>
      <c r="I219" s="77"/>
      <c r="J219" s="77"/>
      <c r="K219" s="77"/>
      <c r="L219" s="77"/>
      <c r="M219" s="77"/>
      <c r="N219" s="78"/>
      <c r="O219" s="791"/>
      <c r="P219" s="798"/>
      <c r="Q219" s="798"/>
      <c r="R219" s="809"/>
      <c r="S219" s="79"/>
      <c r="T219" s="79"/>
    </row>
    <row r="220" spans="1:20" s="204" customFormat="1" ht="18.75" customHeight="1">
      <c r="A220" s="455" t="s">
        <v>230</v>
      </c>
      <c r="B220" s="305" t="s">
        <v>200</v>
      </c>
      <c r="C220" s="306" t="s">
        <v>1429</v>
      </c>
      <c r="D220" s="305" t="s">
        <v>46</v>
      </c>
      <c r="E220" s="199">
        <f>SUM(D221)</f>
        <v>2.16</v>
      </c>
      <c r="F220" s="199"/>
      <c r="G220" s="200">
        <f>E220*F220</f>
        <v>0</v>
      </c>
      <c r="H220" s="85">
        <v>0.0015</v>
      </c>
      <c r="I220" s="201">
        <f>E220*H220</f>
        <v>0.0032400000000000003</v>
      </c>
      <c r="J220" s="85">
        <v>0</v>
      </c>
      <c r="K220" s="85">
        <f>E220*J220</f>
        <v>0</v>
      </c>
      <c r="L220" s="85"/>
      <c r="M220" s="85"/>
      <c r="N220" s="202"/>
      <c r="O220" s="794"/>
      <c r="P220" s="806"/>
      <c r="Q220" s="806"/>
      <c r="R220" s="808"/>
      <c r="S220" s="203"/>
      <c r="T220" s="203"/>
    </row>
    <row r="221" spans="1:20" s="595" customFormat="1" ht="15.75" customHeight="1">
      <c r="A221" s="683"/>
      <c r="B221" s="686"/>
      <c r="C221" s="687" t="s">
        <v>2161</v>
      </c>
      <c r="D221" s="685">
        <f>1.2*1.8</f>
        <v>2.16</v>
      </c>
      <c r="E221" s="688"/>
      <c r="F221" s="688"/>
      <c r="G221" s="689"/>
      <c r="H221" s="593"/>
      <c r="I221" s="593"/>
      <c r="J221" s="593"/>
      <c r="K221" s="593"/>
      <c r="L221" s="593"/>
      <c r="M221" s="593"/>
      <c r="N221" s="594"/>
      <c r="O221" s="794"/>
      <c r="P221" s="806"/>
      <c r="Q221" s="806"/>
      <c r="R221" s="808"/>
      <c r="S221" s="203"/>
      <c r="T221" s="203"/>
    </row>
    <row r="222" spans="1:20" s="204" customFormat="1" ht="34.5" customHeight="1">
      <c r="A222" s="455" t="s">
        <v>232</v>
      </c>
      <c r="B222" s="305" t="s">
        <v>1430</v>
      </c>
      <c r="C222" s="306" t="s">
        <v>1431</v>
      </c>
      <c r="D222" s="305" t="s">
        <v>46</v>
      </c>
      <c r="E222" s="199">
        <f>E220</f>
        <v>2.16</v>
      </c>
      <c r="F222" s="199"/>
      <c r="G222" s="200">
        <f>E222*F222</f>
        <v>0</v>
      </c>
      <c r="H222" s="85">
        <v>0.009</v>
      </c>
      <c r="I222" s="201">
        <f>E222*H222</f>
        <v>0.01944</v>
      </c>
      <c r="J222" s="85">
        <v>0</v>
      </c>
      <c r="K222" s="85">
        <f>E222*J222</f>
        <v>0</v>
      </c>
      <c r="L222" s="85"/>
      <c r="M222" s="85"/>
      <c r="N222" s="202"/>
      <c r="O222" s="794"/>
      <c r="P222" s="806"/>
      <c r="Q222" s="806"/>
      <c r="R222" s="808"/>
      <c r="S222" s="203"/>
      <c r="T222" s="203"/>
    </row>
    <row r="223" spans="1:20" s="595" customFormat="1" ht="21.75" customHeight="1">
      <c r="A223" s="683"/>
      <c r="B223" s="686" t="s">
        <v>1785</v>
      </c>
      <c r="C223" s="687" t="s">
        <v>1822</v>
      </c>
      <c r="D223" s="685">
        <f>(3.2+4.8+13.91+6.4+13.14)*2.4+1.77+0.05</f>
        <v>101.3</v>
      </c>
      <c r="E223" s="688"/>
      <c r="F223" s="688"/>
      <c r="G223" s="689"/>
      <c r="H223" s="593"/>
      <c r="I223" s="593"/>
      <c r="J223" s="593"/>
      <c r="K223" s="593"/>
      <c r="L223" s="593"/>
      <c r="M223" s="593"/>
      <c r="N223" s="594"/>
      <c r="O223" s="794"/>
      <c r="P223" s="806"/>
      <c r="Q223" s="806"/>
      <c r="R223" s="808"/>
      <c r="S223" s="203"/>
      <c r="T223" s="203"/>
    </row>
    <row r="224" spans="1:20" s="204" customFormat="1" ht="18.75" customHeight="1">
      <c r="A224" s="455" t="s">
        <v>234</v>
      </c>
      <c r="B224" s="305" t="s">
        <v>1502</v>
      </c>
      <c r="C224" s="306" t="s">
        <v>1824</v>
      </c>
      <c r="D224" s="305" t="s">
        <v>46</v>
      </c>
      <c r="E224" s="199">
        <f>SUM(E222*1.05)+0.03</f>
        <v>2.298</v>
      </c>
      <c r="F224" s="199"/>
      <c r="G224" s="200">
        <f>E224*F224</f>
        <v>0</v>
      </c>
      <c r="H224" s="85">
        <v>0.02</v>
      </c>
      <c r="I224" s="201">
        <f>E224*H224</f>
        <v>0.04596</v>
      </c>
      <c r="J224" s="85">
        <v>0</v>
      </c>
      <c r="K224" s="85">
        <f>E224*J224</f>
        <v>0</v>
      </c>
      <c r="L224" s="85"/>
      <c r="M224" s="85"/>
      <c r="N224" s="202"/>
      <c r="O224" s="794"/>
      <c r="P224" s="806"/>
      <c r="Q224" s="806"/>
      <c r="R224" s="814"/>
      <c r="S224" s="595"/>
      <c r="T224" s="595"/>
    </row>
    <row r="225" spans="1:20" s="595" customFormat="1" ht="21.75" customHeight="1">
      <c r="A225" s="683"/>
      <c r="B225" s="686"/>
      <c r="C225" s="687" t="s">
        <v>1823</v>
      </c>
      <c r="D225" s="685">
        <f>101.3*1.05+0.03</f>
        <v>106.395</v>
      </c>
      <c r="E225" s="688"/>
      <c r="F225" s="688"/>
      <c r="G225" s="689"/>
      <c r="H225" s="593"/>
      <c r="I225" s="593"/>
      <c r="J225" s="593"/>
      <c r="K225" s="593"/>
      <c r="L225" s="593"/>
      <c r="M225" s="593"/>
      <c r="N225" s="594"/>
      <c r="O225" s="794"/>
      <c r="P225" s="806"/>
      <c r="Q225" s="806"/>
      <c r="R225" s="808"/>
      <c r="S225" s="203"/>
      <c r="T225" s="203"/>
    </row>
    <row r="226" spans="1:20" s="204" customFormat="1" ht="22.5" customHeight="1">
      <c r="A226" s="455" t="s">
        <v>237</v>
      </c>
      <c r="B226" s="197" t="s">
        <v>206</v>
      </c>
      <c r="C226" s="136" t="s">
        <v>1263</v>
      </c>
      <c r="D226" s="198" t="s">
        <v>73</v>
      </c>
      <c r="E226" s="199">
        <f>I226</f>
        <v>0.06864</v>
      </c>
      <c r="F226" s="199"/>
      <c r="G226" s="200">
        <f>E226*F226</f>
        <v>0</v>
      </c>
      <c r="H226" s="201"/>
      <c r="I226" s="216">
        <f>SUM(I220:I225)</f>
        <v>0.06864</v>
      </c>
      <c r="J226" s="85"/>
      <c r="K226" s="85">
        <f>E226*J226</f>
        <v>0</v>
      </c>
      <c r="L226" s="85"/>
      <c r="M226" s="85"/>
      <c r="N226" s="202"/>
      <c r="O226" s="794"/>
      <c r="P226" s="806"/>
      <c r="Q226" s="806"/>
      <c r="R226" s="814"/>
      <c r="S226" s="595"/>
      <c r="T226" s="595"/>
    </row>
    <row r="227" spans="1:20" ht="14" thickBot="1">
      <c r="A227" s="218"/>
      <c r="B227" s="219"/>
      <c r="C227" s="220"/>
      <c r="D227" s="221"/>
      <c r="E227" s="222"/>
      <c r="F227" s="223"/>
      <c r="G227" s="224"/>
      <c r="H227" s="77"/>
      <c r="I227" s="77"/>
      <c r="J227" s="77"/>
      <c r="K227" s="77"/>
      <c r="L227" s="77"/>
      <c r="M227" s="77"/>
      <c r="N227" s="78"/>
      <c r="O227" s="793"/>
      <c r="P227" s="804"/>
      <c r="Q227" s="804"/>
      <c r="R227" s="805"/>
      <c r="S227" s="580"/>
      <c r="T227" s="580"/>
    </row>
    <row r="228" spans="1:20" ht="17.25" customHeight="1" thickBot="1">
      <c r="A228" s="225"/>
      <c r="B228" s="226"/>
      <c r="C228" s="227" t="s">
        <v>113</v>
      </c>
      <c r="D228" s="226"/>
      <c r="E228" s="228"/>
      <c r="F228" s="229"/>
      <c r="G228" s="230">
        <f>SUBTOTAL(9,G219:G227)</f>
        <v>0</v>
      </c>
      <c r="H228" s="77"/>
      <c r="I228" s="77"/>
      <c r="J228" s="77"/>
      <c r="K228" s="77"/>
      <c r="L228" s="77"/>
      <c r="M228" s="77"/>
      <c r="N228" s="78"/>
      <c r="O228" s="791"/>
      <c r="P228" s="798"/>
      <c r="Q228" s="798"/>
      <c r="R228" s="809"/>
      <c r="S228" s="79"/>
      <c r="T228" s="79"/>
    </row>
    <row r="229" spans="1:20" ht="13" thickBot="1">
      <c r="A229" s="179"/>
      <c r="B229" s="180"/>
      <c r="C229" s="180"/>
      <c r="D229" s="180"/>
      <c r="E229" s="180"/>
      <c r="F229" s="180"/>
      <c r="G229" s="181"/>
      <c r="H229" s="77"/>
      <c r="I229" s="77"/>
      <c r="J229" s="77"/>
      <c r="K229" s="77"/>
      <c r="L229" s="77"/>
      <c r="M229" s="77"/>
      <c r="N229" s="78"/>
      <c r="O229" s="791"/>
      <c r="P229" s="798"/>
      <c r="Q229" s="798"/>
      <c r="R229" s="809"/>
      <c r="S229" s="79"/>
      <c r="T229" s="79"/>
    </row>
    <row r="230" spans="1:20" ht="13" thickBot="1">
      <c r="A230" s="182" t="s">
        <v>406</v>
      </c>
      <c r="B230" s="183"/>
      <c r="C230" s="184" t="s">
        <v>342</v>
      </c>
      <c r="D230" s="185"/>
      <c r="E230" s="292"/>
      <c r="F230" s="293"/>
      <c r="G230" s="188"/>
      <c r="H230" s="77"/>
      <c r="I230" s="77"/>
      <c r="J230" s="77"/>
      <c r="K230" s="77"/>
      <c r="L230" s="77"/>
      <c r="M230" s="77"/>
      <c r="N230" s="78"/>
      <c r="O230" s="79"/>
      <c r="P230" s="79"/>
      <c r="Q230" s="79"/>
      <c r="R230" s="79"/>
      <c r="S230" s="79"/>
      <c r="T230" s="79"/>
    </row>
    <row r="231" spans="1:20" ht="12.75">
      <c r="A231" s="189"/>
      <c r="B231" s="231"/>
      <c r="C231" s="232"/>
      <c r="D231" s="233"/>
      <c r="E231" s="234"/>
      <c r="F231" s="235"/>
      <c r="G231" s="236"/>
      <c r="H231" s="77"/>
      <c r="I231" s="77"/>
      <c r="J231" s="77"/>
      <c r="K231" s="77"/>
      <c r="L231" s="77"/>
      <c r="M231" s="77"/>
      <c r="N231" s="78"/>
      <c r="O231" s="79"/>
      <c r="P231" s="79"/>
      <c r="Q231" s="79"/>
      <c r="R231" s="79"/>
      <c r="S231" s="79"/>
      <c r="T231" s="79"/>
    </row>
    <row r="232" spans="1:20" s="204" customFormat="1" ht="29.25" customHeight="1">
      <c r="A232" s="196" t="s">
        <v>407</v>
      </c>
      <c r="B232" s="197" t="s">
        <v>212</v>
      </c>
      <c r="C232" s="136" t="s">
        <v>213</v>
      </c>
      <c r="D232" s="198" t="s">
        <v>46</v>
      </c>
      <c r="E232" s="199">
        <v>55.1</v>
      </c>
      <c r="F232" s="199"/>
      <c r="G232" s="200">
        <f>E232*F232</f>
        <v>0</v>
      </c>
      <c r="H232" s="201">
        <v>0</v>
      </c>
      <c r="I232" s="201">
        <f>E232*H232</f>
        <v>0</v>
      </c>
      <c r="J232" s="85">
        <v>0</v>
      </c>
      <c r="K232" s="85">
        <f>E232*J232</f>
        <v>0</v>
      </c>
      <c r="L232" s="85"/>
      <c r="M232" s="85"/>
      <c r="N232" s="202"/>
      <c r="O232" s="203"/>
      <c r="P232" s="203"/>
      <c r="Q232" s="203"/>
      <c r="R232" s="203"/>
      <c r="S232" s="203"/>
      <c r="T232" s="203"/>
    </row>
    <row r="233" spans="1:20" s="204" customFormat="1" ht="29.25" customHeight="1">
      <c r="A233" s="196" t="s">
        <v>408</v>
      </c>
      <c r="B233" s="197" t="s">
        <v>215</v>
      </c>
      <c r="C233" s="136" t="s">
        <v>216</v>
      </c>
      <c r="D233" s="198" t="s">
        <v>46</v>
      </c>
      <c r="E233" s="199">
        <f>SUM(D234)</f>
        <v>9.795199999999998</v>
      </c>
      <c r="F233" s="199"/>
      <c r="G233" s="200">
        <f>E233*F233</f>
        <v>0</v>
      </c>
      <c r="H233" s="201">
        <v>0</v>
      </c>
      <c r="I233" s="201">
        <f>E233*H233</f>
        <v>0</v>
      </c>
      <c r="J233" s="85">
        <v>0</v>
      </c>
      <c r="K233" s="85">
        <f>E233*J233</f>
        <v>0</v>
      </c>
      <c r="L233" s="85"/>
      <c r="M233" s="85"/>
      <c r="N233" s="202"/>
      <c r="O233" s="203"/>
      <c r="P233" s="203"/>
      <c r="Q233" s="203"/>
      <c r="R233" s="203"/>
      <c r="S233" s="203"/>
      <c r="T233" s="203"/>
    </row>
    <row r="234" spans="1:20" s="595" customFormat="1" ht="18" customHeight="1">
      <c r="A234" s="683"/>
      <c r="B234" s="686"/>
      <c r="C234" s="687" t="s">
        <v>2162</v>
      </c>
      <c r="D234" s="685">
        <f>1.8*2+1.2*1.8+1.02*2.26+1.3*1.3+0.04</f>
        <v>9.795199999999998</v>
      </c>
      <c r="E234" s="688"/>
      <c r="F234" s="688"/>
      <c r="G234" s="689"/>
      <c r="H234" s="593"/>
      <c r="I234" s="593"/>
      <c r="J234" s="593"/>
      <c r="K234" s="593"/>
      <c r="L234" s="593"/>
      <c r="M234" s="593"/>
      <c r="N234" s="594"/>
      <c r="O234" s="794"/>
      <c r="P234" s="806"/>
      <c r="Q234" s="806"/>
      <c r="R234" s="808"/>
      <c r="S234" s="203"/>
      <c r="T234" s="203"/>
    </row>
    <row r="235" spans="1:20" s="204" customFormat="1" ht="23.25" customHeight="1">
      <c r="A235" s="196" t="s">
        <v>409</v>
      </c>
      <c r="B235" s="197" t="s">
        <v>218</v>
      </c>
      <c r="C235" s="136" t="s">
        <v>219</v>
      </c>
      <c r="D235" s="198" t="s">
        <v>46</v>
      </c>
      <c r="E235" s="199">
        <f>(E232+E233)*1.15-0.03</f>
        <v>74.59948</v>
      </c>
      <c r="F235" s="199"/>
      <c r="G235" s="200">
        <f>E235*F235</f>
        <v>0</v>
      </c>
      <c r="H235" s="201">
        <v>0</v>
      </c>
      <c r="I235" s="201">
        <f>E235*H235</f>
        <v>0</v>
      </c>
      <c r="J235" s="85"/>
      <c r="K235" s="85">
        <f>E235*J235</f>
        <v>0</v>
      </c>
      <c r="L235" s="85"/>
      <c r="M235" s="85"/>
      <c r="N235" s="202"/>
      <c r="O235" s="203"/>
      <c r="P235" s="203"/>
      <c r="Q235" s="203"/>
      <c r="R235" s="203"/>
      <c r="S235" s="203"/>
      <c r="T235" s="203"/>
    </row>
    <row r="236" spans="1:20" s="204" customFormat="1" ht="23.25" customHeight="1">
      <c r="A236" s="196" t="s">
        <v>410</v>
      </c>
      <c r="B236" s="197" t="s">
        <v>221</v>
      </c>
      <c r="C236" s="136" t="s">
        <v>222</v>
      </c>
      <c r="D236" s="198" t="s">
        <v>46</v>
      </c>
      <c r="E236" s="199">
        <f>SUM(D237)</f>
        <v>242.00000000000003</v>
      </c>
      <c r="F236" s="199"/>
      <c r="G236" s="200">
        <f>E236*F236</f>
        <v>0</v>
      </c>
      <c r="H236" s="201">
        <v>0.00021</v>
      </c>
      <c r="I236" s="201">
        <f>E236*H236</f>
        <v>0.05082000000000001</v>
      </c>
      <c r="J236" s="85">
        <v>0</v>
      </c>
      <c r="K236" s="85">
        <f>E236*J236</f>
        <v>0</v>
      </c>
      <c r="L236" s="85"/>
      <c r="M236" s="85"/>
      <c r="N236" s="202"/>
      <c r="O236" s="203"/>
      <c r="P236" s="203"/>
      <c r="Q236" s="203"/>
      <c r="R236" s="203"/>
      <c r="S236" s="203"/>
      <c r="T236" s="203"/>
    </row>
    <row r="237" spans="1:20" s="595" customFormat="1" ht="18" customHeight="1">
      <c r="A237" s="683"/>
      <c r="B237" s="686"/>
      <c r="C237" s="687" t="s">
        <v>2164</v>
      </c>
      <c r="D237" s="685">
        <f>67.8+176.3-2.1</f>
        <v>242.00000000000003</v>
      </c>
      <c r="E237" s="688"/>
      <c r="F237" s="688"/>
      <c r="G237" s="689"/>
      <c r="H237" s="593"/>
      <c r="I237" s="593"/>
      <c r="J237" s="593"/>
      <c r="K237" s="593"/>
      <c r="L237" s="593"/>
      <c r="M237" s="593"/>
      <c r="N237" s="594"/>
      <c r="O237" s="794"/>
      <c r="P237" s="806"/>
      <c r="Q237" s="806"/>
      <c r="R237" s="808"/>
      <c r="S237" s="203"/>
      <c r="T237" s="203"/>
    </row>
    <row r="238" spans="1:20" s="204" customFormat="1" ht="25.5" customHeight="1">
      <c r="A238" s="196" t="s">
        <v>411</v>
      </c>
      <c r="B238" s="197" t="s">
        <v>224</v>
      </c>
      <c r="C238" s="136" t="s">
        <v>225</v>
      </c>
      <c r="D238" s="198" t="s">
        <v>46</v>
      </c>
      <c r="E238" s="199">
        <f>E236</f>
        <v>242.00000000000003</v>
      </c>
      <c r="F238" s="199"/>
      <c r="G238" s="200">
        <f>E238*F238</f>
        <v>0</v>
      </c>
      <c r="H238" s="201">
        <v>0.00021</v>
      </c>
      <c r="I238" s="201">
        <f>E238*H238</f>
        <v>0.05082000000000001</v>
      </c>
      <c r="J238" s="85">
        <v>0</v>
      </c>
      <c r="K238" s="85">
        <f>E238*J238</f>
        <v>0</v>
      </c>
      <c r="L238" s="85"/>
      <c r="M238" s="85"/>
      <c r="N238" s="202"/>
      <c r="O238" s="203"/>
      <c r="P238" s="203"/>
      <c r="Q238" s="203"/>
      <c r="R238" s="203"/>
      <c r="S238" s="203"/>
      <c r="T238" s="203"/>
    </row>
    <row r="239" spans="1:20" s="204" customFormat="1" ht="28.5" customHeight="1">
      <c r="A239" s="196" t="s">
        <v>412</v>
      </c>
      <c r="B239" s="197" t="s">
        <v>227</v>
      </c>
      <c r="C239" s="136" t="s">
        <v>1727</v>
      </c>
      <c r="D239" s="198" t="s">
        <v>46</v>
      </c>
      <c r="E239" s="199">
        <f>E238</f>
        <v>242.00000000000003</v>
      </c>
      <c r="F239" s="199"/>
      <c r="G239" s="200">
        <f>E239*F239</f>
        <v>0</v>
      </c>
      <c r="H239" s="201">
        <v>0.00028</v>
      </c>
      <c r="I239" s="201">
        <f>E239*H239</f>
        <v>0.06776</v>
      </c>
      <c r="J239" s="85">
        <v>0</v>
      </c>
      <c r="K239" s="85">
        <f>E239*J239</f>
        <v>0</v>
      </c>
      <c r="L239" s="85"/>
      <c r="M239" s="85"/>
      <c r="N239" s="202"/>
      <c r="O239" s="203"/>
      <c r="P239" s="203"/>
      <c r="Q239" s="203"/>
      <c r="R239" s="203"/>
      <c r="S239" s="203"/>
      <c r="T239" s="203"/>
    </row>
    <row r="240" spans="1:20" ht="13" thickBot="1">
      <c r="A240" s="298"/>
      <c r="B240" s="153"/>
      <c r="C240" s="299"/>
      <c r="D240" s="153"/>
      <c r="E240" s="300"/>
      <c r="F240" s="301"/>
      <c r="G240" s="302"/>
      <c r="H240" s="77"/>
      <c r="I240" s="77"/>
      <c r="J240" s="77"/>
      <c r="K240" s="77"/>
      <c r="L240" s="77"/>
      <c r="M240" s="77"/>
      <c r="N240" s="78"/>
      <c r="O240" s="79"/>
      <c r="P240" s="79"/>
      <c r="Q240" s="79"/>
      <c r="R240" s="79"/>
      <c r="S240" s="79"/>
      <c r="T240" s="79"/>
    </row>
    <row r="241" spans="1:20" ht="12.75">
      <c r="A241" s="225"/>
      <c r="B241" s="226"/>
      <c r="C241" s="227" t="s">
        <v>113</v>
      </c>
      <c r="D241" s="226"/>
      <c r="E241" s="303"/>
      <c r="F241" s="304"/>
      <c r="G241" s="230">
        <f>SUBTOTAL(9,G231:G240)</f>
        <v>0</v>
      </c>
      <c r="H241" s="77"/>
      <c r="I241" s="77"/>
      <c r="J241" s="77"/>
      <c r="K241" s="77"/>
      <c r="L241" s="77"/>
      <c r="M241" s="77"/>
      <c r="N241" s="78"/>
      <c r="O241" s="79"/>
      <c r="P241" s="79"/>
      <c r="Q241" s="79"/>
      <c r="R241" s="79"/>
      <c r="S241" s="79"/>
      <c r="T241" s="79"/>
    </row>
    <row r="242" spans="1:20" ht="12.75">
      <c r="A242" s="179"/>
      <c r="B242" s="180"/>
      <c r="C242" s="180"/>
      <c r="D242" s="180"/>
      <c r="E242" s="180"/>
      <c r="F242" s="180"/>
      <c r="G242" s="181"/>
      <c r="H242" s="77"/>
      <c r="I242" s="77"/>
      <c r="J242" s="77"/>
      <c r="K242" s="77"/>
      <c r="L242" s="77"/>
      <c r="M242" s="77"/>
      <c r="N242" s="78"/>
      <c r="O242" s="79"/>
      <c r="P242" s="79"/>
      <c r="Q242" s="79"/>
      <c r="R242" s="79"/>
      <c r="S242" s="79"/>
      <c r="T242" s="79"/>
    </row>
    <row r="243" spans="1:20" ht="12.75">
      <c r="A243" s="182" t="s">
        <v>1645</v>
      </c>
      <c r="B243" s="183"/>
      <c r="C243" s="184" t="s">
        <v>229</v>
      </c>
      <c r="D243" s="185"/>
      <c r="E243" s="292"/>
      <c r="F243" s="293"/>
      <c r="G243" s="188"/>
      <c r="H243" s="77"/>
      <c r="I243" s="77"/>
      <c r="J243" s="77"/>
      <c r="K243" s="77"/>
      <c r="L243" s="77"/>
      <c r="M243" s="77"/>
      <c r="N243" s="78"/>
      <c r="O243" s="79"/>
      <c r="P243" s="79"/>
      <c r="Q243" s="79"/>
      <c r="R243" s="79"/>
      <c r="S243" s="79"/>
      <c r="T243" s="79"/>
    </row>
    <row r="244" spans="1:20" ht="12.75">
      <c r="A244" s="189"/>
      <c r="B244" s="231"/>
      <c r="C244" s="232"/>
      <c r="D244" s="233"/>
      <c r="E244" s="234"/>
      <c r="F244" s="235"/>
      <c r="G244" s="236"/>
      <c r="H244" s="77"/>
      <c r="I244" s="77"/>
      <c r="J244" s="77"/>
      <c r="K244" s="77"/>
      <c r="L244" s="77"/>
      <c r="M244" s="77"/>
      <c r="N244" s="78"/>
      <c r="O244" s="79"/>
      <c r="P244" s="79"/>
      <c r="Q244" s="79"/>
      <c r="R244" s="79"/>
      <c r="S244" s="79"/>
      <c r="T244" s="79"/>
    </row>
    <row r="245" spans="1:20" s="204" customFormat="1" ht="29.25" customHeight="1">
      <c r="A245" s="196" t="s">
        <v>1667</v>
      </c>
      <c r="B245" s="197" t="s">
        <v>235</v>
      </c>
      <c r="C245" s="136" t="s">
        <v>236</v>
      </c>
      <c r="D245" s="198" t="s">
        <v>46</v>
      </c>
      <c r="E245" s="199">
        <v>9.8</v>
      </c>
      <c r="F245" s="199"/>
      <c r="G245" s="200">
        <f>E245*F245</f>
        <v>0</v>
      </c>
      <c r="H245" s="201">
        <v>1E-05</v>
      </c>
      <c r="I245" s="201">
        <f>E245*H245</f>
        <v>9.800000000000001E-05</v>
      </c>
      <c r="J245" s="85">
        <v>0</v>
      </c>
      <c r="K245" s="85">
        <f>E245*J245</f>
        <v>0</v>
      </c>
      <c r="L245" s="85"/>
      <c r="M245" s="85"/>
      <c r="N245" s="202"/>
      <c r="O245" s="203"/>
      <c r="P245" s="203"/>
      <c r="Q245" s="203"/>
      <c r="R245" s="203"/>
      <c r="S245" s="203"/>
      <c r="T245" s="203"/>
    </row>
    <row r="246" spans="1:20" s="204" customFormat="1" ht="29.25" customHeight="1">
      <c r="A246" s="196" t="s">
        <v>1668</v>
      </c>
      <c r="B246" s="197" t="s">
        <v>238</v>
      </c>
      <c r="C246" s="136" t="s">
        <v>239</v>
      </c>
      <c r="D246" s="198" t="s">
        <v>46</v>
      </c>
      <c r="E246" s="199">
        <v>55.1</v>
      </c>
      <c r="F246" s="199"/>
      <c r="G246" s="200">
        <f>E246*F246</f>
        <v>0</v>
      </c>
      <c r="H246" s="201">
        <v>1E-05</v>
      </c>
      <c r="I246" s="201">
        <f>E246*H246</f>
        <v>0.0005510000000000001</v>
      </c>
      <c r="J246" s="85">
        <v>0</v>
      </c>
      <c r="K246" s="85">
        <f>E246*J246</f>
        <v>0</v>
      </c>
      <c r="L246" s="85"/>
      <c r="M246" s="85"/>
      <c r="N246" s="202"/>
      <c r="O246" s="203"/>
      <c r="P246" s="203"/>
      <c r="Q246" s="203"/>
      <c r="R246" s="203"/>
      <c r="S246" s="203"/>
      <c r="T246" s="203"/>
    </row>
    <row r="247" spans="1:20" s="204" customFormat="1" ht="18.75" customHeight="1">
      <c r="A247" s="196" t="s">
        <v>1669</v>
      </c>
      <c r="B247" s="305" t="s">
        <v>241</v>
      </c>
      <c r="C247" s="306" t="s">
        <v>242</v>
      </c>
      <c r="D247" s="305" t="s">
        <v>243</v>
      </c>
      <c r="E247" s="199">
        <v>25</v>
      </c>
      <c r="F247" s="199"/>
      <c r="G247" s="200">
        <f>E247*F247</f>
        <v>0</v>
      </c>
      <c r="H247" s="85"/>
      <c r="I247" s="201"/>
      <c r="J247" s="85"/>
      <c r="K247" s="85"/>
      <c r="L247" s="85"/>
      <c r="M247" s="85"/>
      <c r="N247" s="202"/>
      <c r="O247" s="203"/>
      <c r="P247" s="203"/>
      <c r="Q247" s="203"/>
      <c r="R247" s="203"/>
      <c r="S247" s="203"/>
      <c r="T247" s="203"/>
    </row>
    <row r="248" spans="1:20" s="204" customFormat="1" ht="32.25" customHeight="1">
      <c r="A248" s="196" t="s">
        <v>1670</v>
      </c>
      <c r="B248" s="197">
        <v>949101111</v>
      </c>
      <c r="C248" s="167" t="s">
        <v>245</v>
      </c>
      <c r="D248" s="197" t="s">
        <v>46</v>
      </c>
      <c r="E248" s="199">
        <v>55.1</v>
      </c>
      <c r="F248" s="199"/>
      <c r="G248" s="200">
        <f>E248*F248</f>
        <v>0</v>
      </c>
      <c r="H248" s="85"/>
      <c r="I248" s="201"/>
      <c r="J248" s="85"/>
      <c r="K248" s="85"/>
      <c r="L248" s="85"/>
      <c r="M248" s="85"/>
      <c r="N248" s="202"/>
      <c r="O248" s="203"/>
      <c r="P248" s="203"/>
      <c r="Q248" s="203"/>
      <c r="R248" s="203"/>
      <c r="S248" s="203"/>
      <c r="T248" s="203"/>
    </row>
    <row r="249" spans="1:20" s="204" customFormat="1" ht="21.75" customHeight="1">
      <c r="A249" s="196" t="s">
        <v>1671</v>
      </c>
      <c r="B249" s="305" t="s">
        <v>2358</v>
      </c>
      <c r="C249" s="306" t="s">
        <v>2359</v>
      </c>
      <c r="D249" s="305" t="s">
        <v>161</v>
      </c>
      <c r="E249" s="972">
        <v>1</v>
      </c>
      <c r="F249" s="972"/>
      <c r="G249" s="973">
        <f>E249*F249</f>
        <v>0</v>
      </c>
      <c r="H249" s="85"/>
      <c r="I249" s="201"/>
      <c r="J249" s="85"/>
      <c r="K249" s="85"/>
      <c r="L249" s="85"/>
      <c r="M249" s="85"/>
      <c r="N249" s="202"/>
      <c r="O249" s="203"/>
      <c r="P249" s="203"/>
      <c r="Q249" s="203"/>
      <c r="R249" s="203"/>
      <c r="S249" s="203"/>
      <c r="T249" s="203"/>
    </row>
    <row r="250" spans="1:12" s="314" customFormat="1" ht="44.25" customHeight="1">
      <c r="A250" s="196" t="s">
        <v>1672</v>
      </c>
      <c r="B250" s="307"/>
      <c r="C250" s="308" t="s">
        <v>247</v>
      </c>
      <c r="D250" s="309"/>
      <c r="E250" s="310"/>
      <c r="F250" s="310"/>
      <c r="G250" s="311">
        <f>$E250*F250</f>
        <v>0</v>
      </c>
      <c r="H250" s="312"/>
      <c r="I250" s="312"/>
      <c r="J250" s="313"/>
      <c r="K250" s="313"/>
      <c r="L250" s="312"/>
    </row>
    <row r="251" spans="1:20" ht="13" thickBot="1">
      <c r="A251" s="298"/>
      <c r="B251" s="153"/>
      <c r="C251" s="299"/>
      <c r="D251" s="153"/>
      <c r="E251" s="300"/>
      <c r="F251" s="301"/>
      <c r="G251" s="302"/>
      <c r="H251" s="77"/>
      <c r="I251" s="77"/>
      <c r="J251" s="77"/>
      <c r="K251" s="77"/>
      <c r="L251" s="77"/>
      <c r="M251" s="77"/>
      <c r="N251" s="78"/>
      <c r="O251" s="79"/>
      <c r="P251" s="79"/>
      <c r="Q251" s="79"/>
      <c r="R251" s="79"/>
      <c r="S251" s="79"/>
      <c r="T251" s="79"/>
    </row>
    <row r="252" spans="1:20" ht="12.75">
      <c r="A252" s="225"/>
      <c r="B252" s="226"/>
      <c r="C252" s="227" t="s">
        <v>113</v>
      </c>
      <c r="D252" s="226"/>
      <c r="E252" s="303"/>
      <c r="F252" s="304"/>
      <c r="G252" s="230">
        <f>SUBTOTAL(9,G244:G251)</f>
        <v>0</v>
      </c>
      <c r="H252" s="77"/>
      <c r="I252" s="77"/>
      <c r="J252" s="77"/>
      <c r="K252" s="77"/>
      <c r="L252" s="77"/>
      <c r="M252" s="77"/>
      <c r="N252" s="78"/>
      <c r="O252" s="79"/>
      <c r="P252" s="79"/>
      <c r="Q252" s="79"/>
      <c r="R252" s="79"/>
      <c r="S252" s="79"/>
      <c r="T252" s="79"/>
    </row>
    <row r="253" spans="1:20" ht="13" thickBot="1">
      <c r="A253" s="179"/>
      <c r="B253" s="180"/>
      <c r="C253" s="180"/>
      <c r="D253" s="180"/>
      <c r="E253" s="180"/>
      <c r="F253" s="180"/>
      <c r="G253" s="181"/>
      <c r="H253" s="77"/>
      <c r="I253" s="77"/>
      <c r="J253" s="77"/>
      <c r="K253" s="77"/>
      <c r="L253" s="77"/>
      <c r="M253" s="77"/>
      <c r="N253" s="78"/>
      <c r="O253" s="79"/>
      <c r="P253" s="79"/>
      <c r="Q253" s="79"/>
      <c r="R253" s="79"/>
      <c r="S253" s="79"/>
      <c r="T253" s="79"/>
    </row>
    <row r="254" spans="1:7" ht="27.75" customHeight="1" thickBot="1">
      <c r="A254" s="453"/>
      <c r="B254" s="316"/>
      <c r="C254" s="317" t="s">
        <v>38</v>
      </c>
      <c r="D254" s="454"/>
      <c r="E254" s="454"/>
      <c r="F254" s="454"/>
      <c r="G254" s="319">
        <f>SUBTOTAL(9,G35:G253)</f>
        <v>0</v>
      </c>
    </row>
    <row r="256" spans="3:7" ht="12.75">
      <c r="C256" s="73"/>
      <c r="D256" s="75"/>
      <c r="E256" s="76"/>
      <c r="G256" s="321"/>
    </row>
    <row r="257" spans="3:7" ht="12.75">
      <c r="C257" s="73"/>
      <c r="D257" s="75"/>
      <c r="E257" s="76"/>
      <c r="G257" s="321"/>
    </row>
    <row r="258" spans="3:7" ht="12.75">
      <c r="C258" s="73"/>
      <c r="D258" s="75"/>
      <c r="E258" s="76"/>
      <c r="G258" s="321"/>
    </row>
    <row r="259" spans="3:7" ht="12.75">
      <c r="C259" s="73"/>
      <c r="D259" s="75"/>
      <c r="E259" s="76"/>
      <c r="G259" s="321"/>
    </row>
    <row r="260" spans="3:7" ht="12.75">
      <c r="C260" s="73"/>
      <c r="D260" s="75"/>
      <c r="E260" s="76"/>
      <c r="G260" s="321"/>
    </row>
    <row r="261" spans="3:7" ht="12.75">
      <c r="C261" s="73"/>
      <c r="D261" s="75"/>
      <c r="E261" s="76"/>
      <c r="G261" s="321"/>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T189"/>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72" customWidth="1"/>
    <col min="2" max="2" width="16.421875" style="73" customWidth="1"/>
    <col min="3" max="3" width="61.421875" style="74" customWidth="1"/>
    <col min="4" max="4" width="10.421875" style="73" customWidth="1"/>
    <col min="5" max="5" width="11.421875" style="75" customWidth="1"/>
    <col min="6" max="6" width="13.421875" style="76" customWidth="1"/>
    <col min="7" max="7" width="20.00390625" style="76" customWidth="1"/>
    <col min="8" max="8" width="11.421875" style="480" customWidth="1"/>
    <col min="9" max="9" width="10.8515625" style="480" customWidth="1"/>
    <col min="10" max="10" width="10.28125" style="480" customWidth="1"/>
    <col min="11" max="11" width="10.421875" style="480" customWidth="1"/>
    <col min="12" max="12" width="8.8515625" style="480" customWidth="1"/>
    <col min="13" max="16384" width="8.8515625" style="80" customWidth="1"/>
  </cols>
  <sheetData>
    <row r="1" spans="1:8" ht="60" customHeight="1">
      <c r="A1" s="81"/>
      <c r="B1" s="82" t="s">
        <v>16</v>
      </c>
      <c r="C1" s="2" t="s">
        <v>1</v>
      </c>
      <c r="D1" s="2"/>
      <c r="E1" s="84"/>
      <c r="F1" s="1415" t="s">
        <v>2</v>
      </c>
      <c r="G1" s="1415"/>
      <c r="H1" s="481"/>
    </row>
    <row r="2" spans="1:8" ht="54.5" customHeight="1">
      <c r="A2" s="86"/>
      <c r="B2" s="87" t="s">
        <v>3</v>
      </c>
      <c r="C2" s="6" t="s">
        <v>2172</v>
      </c>
      <c r="D2" s="6"/>
      <c r="E2" s="89"/>
      <c r="F2" s="1416"/>
      <c r="G2" s="1416"/>
      <c r="H2" s="481"/>
    </row>
    <row r="3" spans="1:7" ht="50" customHeight="1">
      <c r="A3" s="86"/>
      <c r="B3" s="87" t="s">
        <v>17</v>
      </c>
      <c r="C3" s="8" t="s">
        <v>1027</v>
      </c>
      <c r="D3" s="89"/>
      <c r="E3" s="89"/>
      <c r="F3" s="1417" t="s">
        <v>1647</v>
      </c>
      <c r="G3" s="1417"/>
    </row>
    <row r="4" spans="1:7" ht="60.75" customHeight="1" thickBot="1">
      <c r="A4" s="91"/>
      <c r="B4" s="92" t="s">
        <v>19</v>
      </c>
      <c r="C4" s="11" t="s">
        <v>1160</v>
      </c>
      <c r="D4" s="94"/>
      <c r="E4" s="94"/>
      <c r="F4" s="1418"/>
      <c r="G4" s="1418"/>
    </row>
    <row r="5" spans="1:8" ht="15" customHeight="1">
      <c r="A5" s="95"/>
      <c r="B5" s="96"/>
      <c r="C5" s="97"/>
      <c r="D5" s="98"/>
      <c r="E5" s="99"/>
      <c r="F5" s="100"/>
      <c r="G5" s="101"/>
      <c r="H5" s="77"/>
    </row>
    <row r="6" spans="1:12" s="109" customFormat="1" ht="11">
      <c r="A6" s="18" t="s">
        <v>20</v>
      </c>
      <c r="B6" s="20" t="s">
        <v>21</v>
      </c>
      <c r="C6" s="102" t="s">
        <v>22</v>
      </c>
      <c r="D6" s="20" t="s">
        <v>23</v>
      </c>
      <c r="E6" s="103" t="s">
        <v>24</v>
      </c>
      <c r="F6" s="104" t="s">
        <v>25</v>
      </c>
      <c r="G6" s="105" t="s">
        <v>26</v>
      </c>
      <c r="H6" s="106"/>
      <c r="I6" s="482"/>
      <c r="J6" s="482"/>
      <c r="K6" s="482"/>
      <c r="L6" s="482"/>
    </row>
    <row r="7" spans="1:12" s="109" customFormat="1" ht="5.25" customHeight="1">
      <c r="A7" s="110"/>
      <c r="B7" s="111"/>
      <c r="C7" s="112"/>
      <c r="D7" s="111"/>
      <c r="E7" s="113"/>
      <c r="F7" s="114"/>
      <c r="G7" s="115"/>
      <c r="H7" s="106"/>
      <c r="I7" s="482"/>
      <c r="J7" s="482"/>
      <c r="K7" s="482"/>
      <c r="L7" s="482"/>
    </row>
    <row r="8" spans="1:12" s="125" customFormat="1" ht="12.75">
      <c r="A8" s="116"/>
      <c r="B8" s="117"/>
      <c r="C8" s="118"/>
      <c r="D8" s="118"/>
      <c r="E8" s="119"/>
      <c r="F8" s="120"/>
      <c r="G8" s="121"/>
      <c r="H8" s="122"/>
      <c r="I8" s="483"/>
      <c r="J8" s="483"/>
      <c r="K8" s="483"/>
      <c r="L8" s="483"/>
    </row>
    <row r="9" spans="1:12" s="133" customFormat="1" ht="12.75">
      <c r="A9" s="126"/>
      <c r="B9" s="127"/>
      <c r="C9" s="128" t="s">
        <v>27</v>
      </c>
      <c r="D9" s="127"/>
      <c r="E9" s="129"/>
      <c r="F9" s="130"/>
      <c r="G9" s="131"/>
      <c r="H9" s="132"/>
      <c r="I9" s="484"/>
      <c r="J9" s="484"/>
      <c r="K9" s="484"/>
      <c r="L9" s="484"/>
    </row>
    <row r="10" spans="1:7" ht="56.25" customHeight="1" hidden="1">
      <c r="A10" s="134"/>
      <c r="B10" s="135"/>
      <c r="C10" s="136" t="s">
        <v>28</v>
      </c>
      <c r="D10" s="135"/>
      <c r="E10" s="137"/>
      <c r="F10" s="138"/>
      <c r="G10" s="139"/>
    </row>
    <row r="11" spans="1:7" ht="35.25" customHeight="1" hidden="1">
      <c r="A11" s="134"/>
      <c r="B11" s="135"/>
      <c r="C11" s="136" t="s">
        <v>29</v>
      </c>
      <c r="D11" s="135"/>
      <c r="E11" s="137"/>
      <c r="F11" s="138"/>
      <c r="G11" s="139"/>
    </row>
    <row r="12" spans="1:7" ht="30.75" customHeight="1" hidden="1">
      <c r="A12" s="134"/>
      <c r="B12" s="135"/>
      <c r="C12" s="136" t="s">
        <v>30</v>
      </c>
      <c r="D12" s="135"/>
      <c r="E12" s="137"/>
      <c r="F12" s="138"/>
      <c r="G12" s="139"/>
    </row>
    <row r="13" spans="1:7" ht="66" customHeight="1" hidden="1">
      <c r="A13" s="140"/>
      <c r="B13" s="141"/>
      <c r="C13" s="485" t="s">
        <v>31</v>
      </c>
      <c r="D13" s="141"/>
      <c r="E13" s="142"/>
      <c r="F13" s="143"/>
      <c r="G13" s="144"/>
    </row>
    <row r="14" spans="1:7" ht="63" customHeight="1" hidden="1">
      <c r="A14" s="145"/>
      <c r="B14" s="146"/>
      <c r="C14" s="486" t="s">
        <v>32</v>
      </c>
      <c r="D14" s="146"/>
      <c r="E14" s="147"/>
      <c r="F14" s="148"/>
      <c r="G14" s="149"/>
    </row>
    <row r="15" spans="1:7" ht="29.25" customHeight="1" hidden="1">
      <c r="A15" s="134"/>
      <c r="B15" s="135"/>
      <c r="C15" s="150" t="s">
        <v>33</v>
      </c>
      <c r="D15" s="135"/>
      <c r="E15" s="137"/>
      <c r="F15" s="138"/>
      <c r="G15" s="139"/>
    </row>
    <row r="16" spans="1:7" ht="36.75" customHeight="1" hidden="1">
      <c r="A16" s="134"/>
      <c r="B16" s="135"/>
      <c r="C16" s="150" t="s">
        <v>34</v>
      </c>
      <c r="D16" s="135"/>
      <c r="E16" s="137"/>
      <c r="F16" s="138"/>
      <c r="G16" s="139"/>
    </row>
    <row r="17" spans="1:7" ht="43.5" customHeight="1" hidden="1">
      <c r="A17" s="134"/>
      <c r="B17" s="135"/>
      <c r="C17" s="150" t="s">
        <v>35</v>
      </c>
      <c r="D17" s="135"/>
      <c r="E17" s="137"/>
      <c r="F17" s="138"/>
      <c r="G17" s="139"/>
    </row>
    <row r="18" spans="1:12" s="133" customFormat="1" ht="12.75">
      <c r="A18" s="126"/>
      <c r="B18" s="127"/>
      <c r="C18" s="151"/>
      <c r="D18" s="127"/>
      <c r="E18" s="129"/>
      <c r="F18" s="130"/>
      <c r="G18" s="131"/>
      <c r="H18" s="132"/>
      <c r="I18" s="484"/>
      <c r="J18" s="484"/>
      <c r="K18" s="484"/>
      <c r="L18" s="484"/>
    </row>
    <row r="19" spans="1:12" s="125" customFormat="1" ht="33" customHeight="1">
      <c r="A19" s="152"/>
      <c r="B19" s="153"/>
      <c r="C19" s="154" t="s">
        <v>36</v>
      </c>
      <c r="D19" s="153"/>
      <c r="E19" s="155"/>
      <c r="F19" s="156"/>
      <c r="G19" s="157"/>
      <c r="H19" s="122"/>
      <c r="I19" s="483"/>
      <c r="J19" s="483"/>
      <c r="K19" s="483"/>
      <c r="L19" s="483"/>
    </row>
    <row r="20" spans="1:12" s="125" customFormat="1" ht="22">
      <c r="A20" s="152"/>
      <c r="B20" s="153"/>
      <c r="C20" s="158" t="s">
        <v>37</v>
      </c>
      <c r="D20" s="153"/>
      <c r="E20" s="155"/>
      <c r="F20" s="156"/>
      <c r="G20" s="394"/>
      <c r="H20" s="122"/>
      <c r="I20" s="483"/>
      <c r="J20" s="483"/>
      <c r="K20" s="483"/>
      <c r="L20" s="483"/>
    </row>
    <row r="21" spans="1:12" s="125" customFormat="1" ht="17.75" customHeight="1">
      <c r="A21" s="160" t="str">
        <f>A33</f>
        <v>1</v>
      </c>
      <c r="B21" s="161"/>
      <c r="C21" s="162" t="str">
        <f>C33</f>
        <v>Bourací a zemní práce</v>
      </c>
      <c r="D21" s="164"/>
      <c r="E21" s="164"/>
      <c r="F21" s="165"/>
      <c r="G21" s="395">
        <f>G63</f>
        <v>0</v>
      </c>
      <c r="H21" s="122"/>
      <c r="I21" s="483"/>
      <c r="J21" s="483"/>
      <c r="K21" s="483"/>
      <c r="L21" s="483"/>
    </row>
    <row r="22" spans="1:12" s="125" customFormat="1" ht="17.75" customHeight="1">
      <c r="A22" s="160" t="str">
        <f>A65</f>
        <v>2</v>
      </c>
      <c r="B22" s="161"/>
      <c r="C22" s="162" t="str">
        <f>C65</f>
        <v>Svislé a kompletní konstrukce</v>
      </c>
      <c r="D22" s="164"/>
      <c r="E22" s="164"/>
      <c r="F22" s="165"/>
      <c r="G22" s="395">
        <f>G82</f>
        <v>0</v>
      </c>
      <c r="H22" s="122"/>
      <c r="I22" s="483"/>
      <c r="J22" s="483"/>
      <c r="K22" s="483"/>
      <c r="L22" s="483"/>
    </row>
    <row r="23" spans="1:12" s="125" customFormat="1" ht="17.75" customHeight="1">
      <c r="A23" s="742" t="str">
        <f>A84</f>
        <v>3</v>
      </c>
      <c r="B23" s="743"/>
      <c r="C23" s="744" t="str">
        <f>C84</f>
        <v>Vodorovné konstrukce</v>
      </c>
      <c r="D23" s="745"/>
      <c r="E23" s="745"/>
      <c r="F23" s="746"/>
      <c r="G23" s="747">
        <f>G86</f>
        <v>0</v>
      </c>
      <c r="H23" s="122"/>
      <c r="I23" s="483"/>
      <c r="J23" s="483"/>
      <c r="K23" s="483"/>
      <c r="L23" s="483"/>
    </row>
    <row r="24" spans="1:12" s="125" customFormat="1" ht="17.75" customHeight="1">
      <c r="A24" s="487" t="str">
        <f>A91</f>
        <v>4</v>
      </c>
      <c r="B24" s="161"/>
      <c r="C24" s="162" t="str">
        <f>C91</f>
        <v xml:space="preserve">Úpravy povrchů, stěny, stropy, podlahy </v>
      </c>
      <c r="D24" s="164"/>
      <c r="E24" s="164"/>
      <c r="F24" s="165"/>
      <c r="G24" s="395">
        <f>G125</f>
        <v>0</v>
      </c>
      <c r="H24" s="122"/>
      <c r="I24" s="483"/>
      <c r="J24" s="483"/>
      <c r="K24" s="483"/>
      <c r="L24" s="483"/>
    </row>
    <row r="25" spans="1:12" s="125" customFormat="1" ht="17.75" customHeight="1">
      <c r="A25" s="487" t="str">
        <f>A127</f>
        <v>5</v>
      </c>
      <c r="B25" s="161"/>
      <c r="C25" s="162" t="str">
        <f>C127</f>
        <v>Osazování výplní</v>
      </c>
      <c r="D25" s="164"/>
      <c r="E25" s="164"/>
      <c r="F25" s="165"/>
      <c r="G25" s="395">
        <f>G136</f>
        <v>0</v>
      </c>
      <c r="H25" s="122"/>
      <c r="I25" s="483"/>
      <c r="J25" s="483"/>
      <c r="K25" s="483"/>
      <c r="L25" s="483"/>
    </row>
    <row r="26" spans="1:12" s="125" customFormat="1" ht="17.75" customHeight="1">
      <c r="A26" s="160" t="str">
        <f>A138</f>
        <v>6</v>
      </c>
      <c r="B26" s="161"/>
      <c r="C26" s="162" t="str">
        <f>C138</f>
        <v>Přesun hmot</v>
      </c>
      <c r="D26" s="164"/>
      <c r="E26" s="164"/>
      <c r="F26" s="165"/>
      <c r="G26" s="395">
        <f>G142</f>
        <v>0</v>
      </c>
      <c r="H26" s="122"/>
      <c r="I26" s="483"/>
      <c r="J26" s="483"/>
      <c r="K26" s="483"/>
      <c r="L26" s="483"/>
    </row>
    <row r="27" spans="1:12" s="125" customFormat="1" ht="17.75" customHeight="1">
      <c r="A27" s="487" t="str">
        <f>A144</f>
        <v>7</v>
      </c>
      <c r="B27" s="161"/>
      <c r="C27" s="162" t="str">
        <f>C144</f>
        <v>Dokončovací práce - nátěry</v>
      </c>
      <c r="D27" s="164"/>
      <c r="E27" s="164"/>
      <c r="F27" s="165"/>
      <c r="G27" s="395">
        <f>G150</f>
        <v>0</v>
      </c>
      <c r="H27" s="122"/>
      <c r="I27" s="483"/>
      <c r="J27" s="483"/>
      <c r="K27" s="483"/>
      <c r="L27" s="483"/>
    </row>
    <row r="28" spans="1:12" s="125" customFormat="1" ht="17.75" customHeight="1">
      <c r="A28" s="160" t="str">
        <f>A152</f>
        <v>8</v>
      </c>
      <c r="B28" s="161"/>
      <c r="C28" s="162" t="str">
        <f>C152</f>
        <v>Dokončovací práce - malby</v>
      </c>
      <c r="D28" s="164"/>
      <c r="E28" s="164"/>
      <c r="F28" s="165"/>
      <c r="G28" s="395">
        <f>G162</f>
        <v>0</v>
      </c>
      <c r="H28" s="122"/>
      <c r="I28" s="483"/>
      <c r="J28" s="483"/>
      <c r="K28" s="483"/>
      <c r="L28" s="483"/>
    </row>
    <row r="29" spans="1:12" s="125" customFormat="1" ht="17.75" customHeight="1">
      <c r="A29" s="160" t="str">
        <f>A164</f>
        <v>9</v>
      </c>
      <c r="B29" s="161"/>
      <c r="C29" s="162" t="str">
        <f>C164</f>
        <v>Ostatní práce a dodávky</v>
      </c>
      <c r="D29" s="164"/>
      <c r="E29" s="164"/>
      <c r="F29" s="165"/>
      <c r="G29" s="395">
        <f>G180</f>
        <v>0</v>
      </c>
      <c r="H29" s="122"/>
      <c r="I29" s="483"/>
      <c r="J29" s="483"/>
      <c r="K29" s="483"/>
      <c r="L29" s="483"/>
    </row>
    <row r="30" spans="1:7" ht="13" thickBot="1">
      <c r="A30" s="160"/>
      <c r="B30" s="153"/>
      <c r="C30" s="167"/>
      <c r="D30" s="153"/>
      <c r="E30" s="168"/>
      <c r="F30" s="156"/>
      <c r="G30" s="395"/>
    </row>
    <row r="31" spans="1:7" ht="28.5" customHeight="1">
      <c r="A31" s="170"/>
      <c r="B31" s="171"/>
      <c r="C31" s="172" t="s">
        <v>38</v>
      </c>
      <c r="D31" s="175"/>
      <c r="E31" s="174"/>
      <c r="F31" s="175"/>
      <c r="G31" s="176">
        <f>SUM(G21:G29)</f>
        <v>0</v>
      </c>
    </row>
    <row r="32" spans="1:7" ht="12.75">
      <c r="A32" s="179"/>
      <c r="B32" s="180"/>
      <c r="C32" s="180"/>
      <c r="D32" s="180"/>
      <c r="E32" s="180"/>
      <c r="F32" s="180"/>
      <c r="G32" s="396"/>
    </row>
    <row r="33" spans="1:12" s="125" customFormat="1" ht="18" customHeight="1">
      <c r="A33" s="182" t="s">
        <v>43</v>
      </c>
      <c r="B33" s="183"/>
      <c r="C33" s="184" t="s">
        <v>44</v>
      </c>
      <c r="D33" s="397"/>
      <c r="E33" s="398"/>
      <c r="F33" s="187"/>
      <c r="G33" s="399"/>
      <c r="H33" s="122"/>
      <c r="I33" s="483"/>
      <c r="J33" s="483"/>
      <c r="K33" s="483"/>
      <c r="L33" s="483"/>
    </row>
    <row r="34" spans="1:12" s="125" customFormat="1" ht="12.75" customHeight="1">
      <c r="A34" s="189"/>
      <c r="B34" s="400"/>
      <c r="C34" s="232"/>
      <c r="D34" s="233"/>
      <c r="E34" s="401"/>
      <c r="F34" s="402"/>
      <c r="G34" s="403"/>
      <c r="H34" s="122"/>
      <c r="I34" s="483"/>
      <c r="J34" s="483"/>
      <c r="K34" s="483"/>
      <c r="L34" s="483"/>
    </row>
    <row r="35" spans="1:20" s="204" customFormat="1" ht="19.5" customHeight="1">
      <c r="A35" s="196" t="s">
        <v>45</v>
      </c>
      <c r="B35" s="197">
        <v>766691914</v>
      </c>
      <c r="C35" s="136" t="s">
        <v>1393</v>
      </c>
      <c r="D35" s="198" t="s">
        <v>175</v>
      </c>
      <c r="E35" s="199">
        <v>2</v>
      </c>
      <c r="F35" s="199"/>
      <c r="G35" s="200">
        <f>E35*F35</f>
        <v>0</v>
      </c>
      <c r="H35" s="201">
        <v>0</v>
      </c>
      <c r="I35" s="201">
        <f>E35*H35</f>
        <v>0</v>
      </c>
      <c r="J35" s="85">
        <v>0.024</v>
      </c>
      <c r="K35" s="673">
        <f>E35*J35</f>
        <v>0.048</v>
      </c>
      <c r="L35" s="673"/>
      <c r="M35" s="85"/>
      <c r="N35" s="202"/>
      <c r="O35" s="794"/>
      <c r="P35" s="806"/>
      <c r="Q35" s="806"/>
      <c r="R35" s="808"/>
      <c r="S35" s="203"/>
      <c r="T35" s="203"/>
    </row>
    <row r="36" spans="1:20" s="204" customFormat="1" ht="11.25" customHeight="1">
      <c r="A36" s="671"/>
      <c r="B36" s="672"/>
      <c r="C36" s="667"/>
      <c r="D36" s="668"/>
      <c r="E36" s="669"/>
      <c r="F36" s="669"/>
      <c r="G36" s="670"/>
      <c r="H36" s="201"/>
      <c r="I36" s="201"/>
      <c r="J36" s="85"/>
      <c r="K36" s="673"/>
      <c r="L36" s="673"/>
      <c r="M36" s="85"/>
      <c r="N36" s="202"/>
      <c r="O36" s="794"/>
      <c r="P36" s="806"/>
      <c r="Q36" s="806"/>
      <c r="R36" s="808"/>
      <c r="S36" s="203"/>
      <c r="T36" s="203"/>
    </row>
    <row r="37" spans="1:20" s="204" customFormat="1" ht="23.25" customHeight="1">
      <c r="A37" s="196" t="s">
        <v>47</v>
      </c>
      <c r="B37" s="197" t="s">
        <v>1376</v>
      </c>
      <c r="C37" s="136" t="s">
        <v>1377</v>
      </c>
      <c r="D37" s="198" t="s">
        <v>46</v>
      </c>
      <c r="E37" s="199">
        <f>SUM(D38)</f>
        <v>9.148</v>
      </c>
      <c r="F37" s="199"/>
      <c r="G37" s="200">
        <f>E37*F37</f>
        <v>0</v>
      </c>
      <c r="H37" s="201">
        <v>0</v>
      </c>
      <c r="I37" s="201">
        <f>E37*H37</f>
        <v>0</v>
      </c>
      <c r="J37" s="85">
        <v>0.131</v>
      </c>
      <c r="K37" s="673">
        <f>E37*J37</f>
        <v>1.198388</v>
      </c>
      <c r="L37" s="673"/>
      <c r="M37" s="85"/>
      <c r="N37" s="202"/>
      <c r="O37" s="794"/>
      <c r="P37" s="806"/>
      <c r="Q37" s="806"/>
      <c r="R37" s="808"/>
      <c r="S37" s="203"/>
      <c r="T37" s="203"/>
    </row>
    <row r="38" spans="1:20" s="214" customFormat="1" ht="18" customHeight="1">
      <c r="A38" s="671"/>
      <c r="B38" s="205"/>
      <c r="C38" s="206" t="s">
        <v>2010</v>
      </c>
      <c r="D38" s="207">
        <f>4.1*3-0.8*1.97*2</f>
        <v>9.148</v>
      </c>
      <c r="E38" s="208"/>
      <c r="F38" s="208"/>
      <c r="G38" s="209"/>
      <c r="H38" s="210"/>
      <c r="I38" s="210"/>
      <c r="J38" s="211"/>
      <c r="K38" s="673"/>
      <c r="L38" s="705"/>
      <c r="M38" s="211"/>
      <c r="N38" s="212"/>
      <c r="O38" s="794"/>
      <c r="P38" s="806"/>
      <c r="Q38" s="806"/>
      <c r="R38" s="807"/>
      <c r="S38" s="213"/>
      <c r="T38" s="213"/>
    </row>
    <row r="39" spans="1:20" s="204" customFormat="1" ht="23.25" customHeight="1">
      <c r="A39" s="196" t="s">
        <v>50</v>
      </c>
      <c r="B39" s="197">
        <v>968072455</v>
      </c>
      <c r="C39" s="136" t="s">
        <v>1089</v>
      </c>
      <c r="D39" s="198" t="s">
        <v>46</v>
      </c>
      <c r="E39" s="199">
        <f>SUM(D40)</f>
        <v>3.152</v>
      </c>
      <c r="F39" s="199"/>
      <c r="G39" s="200">
        <f>E39*F39</f>
        <v>0</v>
      </c>
      <c r="H39" s="201">
        <v>0</v>
      </c>
      <c r="I39" s="201">
        <f>E39*H39</f>
        <v>0</v>
      </c>
      <c r="J39" s="85">
        <v>0.076</v>
      </c>
      <c r="K39" s="673">
        <f>E39*J39</f>
        <v>0.23955200000000001</v>
      </c>
      <c r="L39" s="673"/>
      <c r="M39" s="85"/>
      <c r="N39" s="202"/>
      <c r="O39" s="794"/>
      <c r="P39" s="806"/>
      <c r="Q39" s="806"/>
      <c r="R39" s="808"/>
      <c r="S39" s="203"/>
      <c r="T39" s="203"/>
    </row>
    <row r="40" spans="1:20" s="214" customFormat="1" ht="15" customHeight="1">
      <c r="A40" s="671"/>
      <c r="B40" s="706"/>
      <c r="C40" s="707" t="s">
        <v>2011</v>
      </c>
      <c r="D40" s="708">
        <f>0.8*1.97*2</f>
        <v>3.152</v>
      </c>
      <c r="E40" s="709"/>
      <c r="F40" s="709"/>
      <c r="G40" s="710"/>
      <c r="H40" s="210"/>
      <c r="I40" s="210"/>
      <c r="J40" s="211"/>
      <c r="K40" s="673"/>
      <c r="L40" s="705"/>
      <c r="M40" s="211"/>
      <c r="N40" s="212"/>
      <c r="O40" s="794"/>
      <c r="P40" s="806"/>
      <c r="Q40" s="806"/>
      <c r="R40" s="807"/>
      <c r="S40" s="213"/>
      <c r="T40" s="213"/>
    </row>
    <row r="41" spans="1:20" s="204" customFormat="1" ht="19.5" customHeight="1">
      <c r="A41" s="196" t="s">
        <v>53</v>
      </c>
      <c r="B41" s="197" t="s">
        <v>1373</v>
      </c>
      <c r="C41" s="136" t="s">
        <v>1374</v>
      </c>
      <c r="D41" s="198" t="s">
        <v>52</v>
      </c>
      <c r="E41" s="199">
        <f>SUM(D42)</f>
        <v>1.10675</v>
      </c>
      <c r="F41" s="199"/>
      <c r="G41" s="200">
        <f>E41*F41</f>
        <v>0</v>
      </c>
      <c r="H41" s="201">
        <v>0</v>
      </c>
      <c r="I41" s="201">
        <f>E41*H41</f>
        <v>0</v>
      </c>
      <c r="J41" s="85">
        <v>1.8</v>
      </c>
      <c r="K41" s="673">
        <f>E41*J41</f>
        <v>1.9921499999999999</v>
      </c>
      <c r="L41" s="673"/>
      <c r="M41" s="85"/>
      <c r="N41" s="202"/>
      <c r="O41" s="794"/>
      <c r="P41" s="806"/>
      <c r="Q41" s="806"/>
      <c r="R41" s="808"/>
      <c r="S41" s="203"/>
      <c r="T41" s="203"/>
    </row>
    <row r="42" spans="1:20" s="214" customFormat="1" ht="21" customHeight="1">
      <c r="A42" s="671"/>
      <c r="B42" s="205"/>
      <c r="C42" s="206" t="s">
        <v>2030</v>
      </c>
      <c r="D42" s="207">
        <f>1.14*0.75*0.95+1.55*0.2*0.95</f>
        <v>1.10675</v>
      </c>
      <c r="E42" s="208"/>
      <c r="F42" s="208"/>
      <c r="G42" s="209"/>
      <c r="H42" s="210"/>
      <c r="I42" s="210"/>
      <c r="J42" s="211"/>
      <c r="K42" s="673"/>
      <c r="L42" s="705"/>
      <c r="M42" s="211"/>
      <c r="N42" s="212"/>
      <c r="O42" s="794"/>
      <c r="P42" s="806"/>
      <c r="Q42" s="806"/>
      <c r="R42" s="807"/>
      <c r="S42" s="213"/>
      <c r="T42" s="213"/>
    </row>
    <row r="43" spans="1:20" s="204" customFormat="1" ht="29.25" customHeight="1">
      <c r="A43" s="196" t="s">
        <v>56</v>
      </c>
      <c r="B43" s="197" t="s">
        <v>67</v>
      </c>
      <c r="C43" s="136" t="s">
        <v>1389</v>
      </c>
      <c r="D43" s="198" t="s">
        <v>46</v>
      </c>
      <c r="E43" s="199">
        <f>SUM(D44)</f>
        <v>183.99499999999998</v>
      </c>
      <c r="F43" s="199"/>
      <c r="G43" s="200">
        <f>E43*F43</f>
        <v>0</v>
      </c>
      <c r="H43" s="201">
        <v>0</v>
      </c>
      <c r="I43" s="201">
        <f>E43*H43</f>
        <v>0</v>
      </c>
      <c r="J43" s="85">
        <v>0.046</v>
      </c>
      <c r="K43" s="673">
        <f>E43*J43</f>
        <v>8.463769999999998</v>
      </c>
      <c r="L43" s="673"/>
      <c r="M43" s="85"/>
      <c r="N43" s="202"/>
      <c r="O43" s="794"/>
      <c r="P43" s="806"/>
      <c r="Q43" s="806"/>
      <c r="R43" s="808"/>
      <c r="S43" s="203"/>
      <c r="T43" s="203"/>
    </row>
    <row r="44" spans="1:20" s="214" customFormat="1" ht="15" customHeight="1">
      <c r="A44" s="671"/>
      <c r="B44" s="205"/>
      <c r="C44" s="206" t="s">
        <v>2012</v>
      </c>
      <c r="D44" s="207">
        <f>(26.7+34.4)*3-1.14*0.75-1.5*2*2+(1+0.75*2+1.5+2*2)*0.95-0.05</f>
        <v>183.99499999999998</v>
      </c>
      <c r="E44" s="208"/>
      <c r="F44" s="208"/>
      <c r="G44" s="209"/>
      <c r="H44" s="210"/>
      <c r="I44" s="210"/>
      <c r="J44" s="211"/>
      <c r="K44" s="673"/>
      <c r="L44" s="705"/>
      <c r="M44" s="211"/>
      <c r="N44" s="212"/>
      <c r="O44" s="794"/>
      <c r="P44" s="806"/>
      <c r="Q44" s="806"/>
      <c r="R44" s="807"/>
      <c r="S44" s="213"/>
      <c r="T44" s="213"/>
    </row>
    <row r="45" spans="1:20" s="204" customFormat="1" ht="30" customHeight="1">
      <c r="A45" s="196" t="s">
        <v>58</v>
      </c>
      <c r="B45" s="672" t="s">
        <v>1529</v>
      </c>
      <c r="C45" s="667" t="s">
        <v>2013</v>
      </c>
      <c r="D45" s="668" t="s">
        <v>46</v>
      </c>
      <c r="E45" s="669">
        <f>SUM(D46)</f>
        <v>80.7</v>
      </c>
      <c r="F45" s="669"/>
      <c r="G45" s="200">
        <f>E45*F45</f>
        <v>0</v>
      </c>
      <c r="H45" s="201">
        <v>0</v>
      </c>
      <c r="I45" s="201">
        <f>E45*H45</f>
        <v>0</v>
      </c>
      <c r="J45" s="85">
        <v>0.05</v>
      </c>
      <c r="K45" s="673">
        <f>E45*J45</f>
        <v>4.035</v>
      </c>
      <c r="L45" s="673"/>
      <c r="M45" s="85"/>
      <c r="N45" s="202"/>
      <c r="O45" s="794"/>
      <c r="P45" s="806"/>
      <c r="Q45" s="806"/>
      <c r="R45" s="808"/>
      <c r="S45" s="203"/>
      <c r="T45" s="203"/>
    </row>
    <row r="46" spans="1:20" s="214" customFormat="1" ht="15" customHeight="1">
      <c r="A46" s="196"/>
      <c r="B46" s="205"/>
      <c r="C46" s="784" t="s">
        <v>2031</v>
      </c>
      <c r="D46" s="207">
        <f>39.2+20.4+17.2+3.9</f>
        <v>80.7</v>
      </c>
      <c r="E46" s="208"/>
      <c r="F46" s="208"/>
      <c r="G46" s="209"/>
      <c r="H46" s="210"/>
      <c r="I46" s="210"/>
      <c r="J46" s="211"/>
      <c r="K46" s="673"/>
      <c r="L46" s="705"/>
      <c r="M46" s="211"/>
      <c r="N46" s="212"/>
      <c r="O46" s="794"/>
      <c r="P46" s="806"/>
      <c r="Q46" s="806"/>
      <c r="R46" s="807"/>
      <c r="S46" s="213"/>
      <c r="T46" s="213"/>
    </row>
    <row r="47" spans="1:20" s="204" customFormat="1" ht="54" customHeight="1">
      <c r="A47" s="196" t="s">
        <v>61</v>
      </c>
      <c r="B47" s="672" t="s">
        <v>321</v>
      </c>
      <c r="C47" s="667" t="s">
        <v>2303</v>
      </c>
      <c r="D47" s="668" t="s">
        <v>175</v>
      </c>
      <c r="E47" s="669">
        <v>2</v>
      </c>
      <c r="F47" s="669"/>
      <c r="G47" s="200">
        <f>E47*F47</f>
        <v>0</v>
      </c>
      <c r="H47" s="201"/>
      <c r="I47" s="201"/>
      <c r="J47" s="85"/>
      <c r="K47" s="673"/>
      <c r="L47" s="673"/>
      <c r="M47" s="85"/>
      <c r="N47" s="202"/>
      <c r="O47" s="794"/>
      <c r="P47" s="806"/>
      <c r="Q47" s="806"/>
      <c r="R47" s="808"/>
      <c r="S47" s="203"/>
      <c r="T47" s="203"/>
    </row>
    <row r="48" spans="1:20" s="204" customFormat="1" ht="54" customHeight="1">
      <c r="A48" s="196" t="s">
        <v>63</v>
      </c>
      <c r="B48" s="672" t="s">
        <v>322</v>
      </c>
      <c r="C48" s="667" t="s">
        <v>2304</v>
      </c>
      <c r="D48" s="668" t="s">
        <v>175</v>
      </c>
      <c r="E48" s="669">
        <v>1</v>
      </c>
      <c r="F48" s="669"/>
      <c r="G48" s="200">
        <f>E48*F48</f>
        <v>0</v>
      </c>
      <c r="H48" s="201"/>
      <c r="I48" s="201"/>
      <c r="J48" s="85"/>
      <c r="K48" s="673"/>
      <c r="L48" s="673"/>
      <c r="M48" s="85"/>
      <c r="N48" s="202"/>
      <c r="O48" s="794"/>
      <c r="P48" s="806"/>
      <c r="Q48" s="806"/>
      <c r="R48" s="808"/>
      <c r="S48" s="203"/>
      <c r="T48" s="203"/>
    </row>
    <row r="49" spans="1:20" s="204" customFormat="1" ht="64.5" customHeight="1">
      <c r="A49" s="196" t="s">
        <v>64</v>
      </c>
      <c r="B49" s="672" t="s">
        <v>324</v>
      </c>
      <c r="C49" s="667" t="s">
        <v>2305</v>
      </c>
      <c r="D49" s="668" t="s">
        <v>175</v>
      </c>
      <c r="E49" s="669">
        <v>1</v>
      </c>
      <c r="F49" s="669"/>
      <c r="G49" s="200">
        <f>E49*F49</f>
        <v>0</v>
      </c>
      <c r="H49" s="201"/>
      <c r="I49" s="201"/>
      <c r="J49" s="85"/>
      <c r="K49" s="673"/>
      <c r="L49" s="673"/>
      <c r="M49" s="85"/>
      <c r="N49" s="202"/>
      <c r="O49" s="794"/>
      <c r="P49" s="806"/>
      <c r="Q49" s="806"/>
      <c r="R49" s="808"/>
      <c r="S49" s="203"/>
      <c r="T49" s="203"/>
    </row>
    <row r="50" spans="1:20" s="204" customFormat="1" ht="74.25" customHeight="1">
      <c r="A50" s="196" t="s">
        <v>66</v>
      </c>
      <c r="B50" s="672" t="s">
        <v>326</v>
      </c>
      <c r="C50" s="667" t="s">
        <v>2360</v>
      </c>
      <c r="D50" s="668" t="s">
        <v>175</v>
      </c>
      <c r="E50" s="669">
        <v>1</v>
      </c>
      <c r="F50" s="669"/>
      <c r="G50" s="200">
        <f>E50*F50</f>
        <v>0</v>
      </c>
      <c r="H50" s="201"/>
      <c r="I50" s="201"/>
      <c r="J50" s="85"/>
      <c r="K50" s="673"/>
      <c r="L50" s="673"/>
      <c r="M50" s="85"/>
      <c r="N50" s="202"/>
      <c r="O50" s="794"/>
      <c r="P50" s="806"/>
      <c r="Q50" s="806"/>
      <c r="R50" s="808"/>
      <c r="S50" s="203"/>
      <c r="T50" s="203"/>
    </row>
    <row r="51" spans="1:20" s="204" customFormat="1" ht="64.5" customHeight="1">
      <c r="A51" s="196" t="s">
        <v>70</v>
      </c>
      <c r="B51" s="672" t="s">
        <v>2307</v>
      </c>
      <c r="C51" s="667" t="s">
        <v>2306</v>
      </c>
      <c r="D51" s="668" t="s">
        <v>116</v>
      </c>
      <c r="E51" s="669">
        <v>1</v>
      </c>
      <c r="F51" s="669"/>
      <c r="G51" s="200">
        <f>E51*F51</f>
        <v>0</v>
      </c>
      <c r="H51" s="201"/>
      <c r="I51" s="201"/>
      <c r="J51" s="85"/>
      <c r="K51" s="673"/>
      <c r="L51" s="673"/>
      <c r="M51" s="85"/>
      <c r="N51" s="202"/>
      <c r="O51" s="794"/>
      <c r="P51" s="806"/>
      <c r="Q51" s="806"/>
      <c r="R51" s="808"/>
      <c r="S51" s="203"/>
      <c r="T51" s="203"/>
    </row>
    <row r="52" spans="1:20" s="204" customFormat="1" ht="15.75" customHeight="1">
      <c r="A52" s="196"/>
      <c r="B52" s="197"/>
      <c r="C52" s="136"/>
      <c r="D52" s="198"/>
      <c r="E52" s="199"/>
      <c r="F52" s="199"/>
      <c r="G52" s="200"/>
      <c r="H52" s="201"/>
      <c r="I52" s="201"/>
      <c r="J52" s="85"/>
      <c r="K52" s="85"/>
      <c r="L52" s="85"/>
      <c r="M52" s="85"/>
      <c r="N52" s="202"/>
      <c r="O52" s="203"/>
      <c r="P52" s="203"/>
      <c r="Q52" s="203"/>
      <c r="R52" s="203"/>
      <c r="S52" s="203"/>
      <c r="T52" s="203"/>
    </row>
    <row r="53" spans="1:20" s="204" customFormat="1" ht="29.25" customHeight="1">
      <c r="A53" s="196"/>
      <c r="B53" s="197" t="s">
        <v>68</v>
      </c>
      <c r="C53" s="215" t="s">
        <v>69</v>
      </c>
      <c r="D53" s="198"/>
      <c r="E53" s="199"/>
      <c r="F53" s="199"/>
      <c r="G53" s="200"/>
      <c r="H53" s="201"/>
      <c r="I53" s="216">
        <f>SUM(I18:I52)</f>
        <v>0</v>
      </c>
      <c r="J53" s="217"/>
      <c r="K53" s="217">
        <f>SUM(K33:K52)</f>
        <v>15.976859999999999</v>
      </c>
      <c r="L53" s="85"/>
      <c r="M53" s="85"/>
      <c r="N53" s="202"/>
      <c r="O53" s="794"/>
      <c r="P53" s="806"/>
      <c r="Q53" s="806"/>
      <c r="R53" s="808"/>
      <c r="S53" s="203"/>
      <c r="T53" s="203"/>
    </row>
    <row r="54" spans="1:20" s="204" customFormat="1" ht="36.75" customHeight="1">
      <c r="A54" s="196" t="s">
        <v>74</v>
      </c>
      <c r="B54" s="237" t="s">
        <v>1038</v>
      </c>
      <c r="C54" s="711" t="s">
        <v>1039</v>
      </c>
      <c r="D54" s="712" t="s">
        <v>73</v>
      </c>
      <c r="E54" s="713">
        <f>K53</f>
        <v>15.976859999999999</v>
      </c>
      <c r="F54" s="199"/>
      <c r="G54" s="200">
        <f>E54*F54</f>
        <v>0</v>
      </c>
      <c r="H54" s="85"/>
      <c r="I54" s="85"/>
      <c r="J54" s="201"/>
      <c r="K54" s="201"/>
      <c r="L54" s="85"/>
      <c r="M54" s="85"/>
      <c r="N54" s="202"/>
      <c r="O54" s="794"/>
      <c r="P54" s="806"/>
      <c r="Q54" s="806"/>
      <c r="R54" s="808"/>
      <c r="S54" s="203"/>
      <c r="T54" s="203"/>
    </row>
    <row r="55" spans="1:20" s="204" customFormat="1" ht="22.5" customHeight="1">
      <c r="A55" s="196" t="s">
        <v>77</v>
      </c>
      <c r="B55" s="197" t="s">
        <v>71</v>
      </c>
      <c r="C55" s="136" t="s">
        <v>72</v>
      </c>
      <c r="D55" s="198" t="s">
        <v>73</v>
      </c>
      <c r="E55" s="199">
        <f>E54</f>
        <v>15.976859999999999</v>
      </c>
      <c r="F55" s="199"/>
      <c r="G55" s="200">
        <f>E55*F55</f>
        <v>0</v>
      </c>
      <c r="H55" s="85"/>
      <c r="I55" s="85"/>
      <c r="J55" s="201"/>
      <c r="K55" s="201"/>
      <c r="L55" s="85"/>
      <c r="M55" s="85"/>
      <c r="N55" s="202"/>
      <c r="O55" s="794"/>
      <c r="P55" s="806"/>
      <c r="Q55" s="806"/>
      <c r="R55" s="808"/>
      <c r="S55" s="203"/>
      <c r="T55" s="203"/>
    </row>
    <row r="56" spans="1:20" s="214" customFormat="1" ht="36.75" customHeight="1">
      <c r="A56" s="196" t="s">
        <v>80</v>
      </c>
      <c r="B56" s="237" t="s">
        <v>75</v>
      </c>
      <c r="C56" s="711" t="s">
        <v>1040</v>
      </c>
      <c r="D56" s="714" t="s">
        <v>73</v>
      </c>
      <c r="E56" s="713">
        <f>E54</f>
        <v>15.976859999999999</v>
      </c>
      <c r="F56" s="199"/>
      <c r="G56" s="200">
        <f>E56*F56</f>
        <v>0</v>
      </c>
      <c r="H56" s="211"/>
      <c r="I56" s="85"/>
      <c r="J56" s="210"/>
      <c r="K56" s="210"/>
      <c r="L56" s="211"/>
      <c r="M56" s="211"/>
      <c r="N56" s="212"/>
      <c r="O56" s="794"/>
      <c r="P56" s="806"/>
      <c r="Q56" s="806"/>
      <c r="R56" s="807"/>
      <c r="S56" s="213"/>
      <c r="T56" s="213"/>
    </row>
    <row r="57" spans="1:20" s="204" customFormat="1" ht="29.25" customHeight="1">
      <c r="A57" s="196" t="s">
        <v>82</v>
      </c>
      <c r="B57" s="237" t="s">
        <v>78</v>
      </c>
      <c r="C57" s="711" t="s">
        <v>1051</v>
      </c>
      <c r="D57" s="712" t="s">
        <v>73</v>
      </c>
      <c r="E57" s="713">
        <f>SUM(D58)</f>
        <v>159.8</v>
      </c>
      <c r="F57" s="199"/>
      <c r="G57" s="200">
        <f>E57*F57</f>
        <v>0</v>
      </c>
      <c r="H57" s="85"/>
      <c r="I57" s="85"/>
      <c r="J57" s="201"/>
      <c r="K57" s="201"/>
      <c r="L57" s="85"/>
      <c r="M57" s="85"/>
      <c r="N57" s="202"/>
      <c r="O57" s="794"/>
      <c r="P57" s="806"/>
      <c r="Q57" s="806"/>
      <c r="R57" s="808"/>
      <c r="S57" s="203"/>
      <c r="T57" s="203"/>
    </row>
    <row r="58" spans="1:20" s="214" customFormat="1" ht="15" customHeight="1">
      <c r="A58" s="196"/>
      <c r="B58" s="205"/>
      <c r="C58" s="206" t="s">
        <v>2032</v>
      </c>
      <c r="D58" s="207">
        <f>15.98*10</f>
        <v>159.8</v>
      </c>
      <c r="E58" s="208"/>
      <c r="F58" s="208"/>
      <c r="G58" s="209"/>
      <c r="H58" s="211"/>
      <c r="I58" s="85"/>
      <c r="J58" s="210"/>
      <c r="K58" s="210"/>
      <c r="L58" s="211"/>
      <c r="M58" s="211"/>
      <c r="N58" s="212"/>
      <c r="O58" s="794"/>
      <c r="P58" s="806"/>
      <c r="Q58" s="806"/>
      <c r="R58" s="807"/>
      <c r="S58" s="213"/>
      <c r="T58" s="213"/>
    </row>
    <row r="59" spans="1:20" s="214" customFormat="1" ht="30" customHeight="1">
      <c r="A59" s="196" t="s">
        <v>84</v>
      </c>
      <c r="B59" s="237" t="s">
        <v>1041</v>
      </c>
      <c r="C59" s="711" t="s">
        <v>1042</v>
      </c>
      <c r="D59" s="714" t="s">
        <v>73</v>
      </c>
      <c r="E59" s="713">
        <f>K37+K41+K43+K45</f>
        <v>15.689307999999999</v>
      </c>
      <c r="F59" s="199"/>
      <c r="G59" s="200">
        <f>E59*F59</f>
        <v>0</v>
      </c>
      <c r="H59" s="211"/>
      <c r="I59" s="85"/>
      <c r="J59" s="210"/>
      <c r="K59" s="210"/>
      <c r="L59" s="211"/>
      <c r="M59" s="211"/>
      <c r="N59" s="212"/>
      <c r="O59" s="794"/>
      <c r="P59" s="806"/>
      <c r="Q59" s="806"/>
      <c r="R59" s="807"/>
      <c r="S59" s="213"/>
      <c r="T59" s="213"/>
    </row>
    <row r="60" spans="1:20" s="204" customFormat="1" ht="29.25" customHeight="1">
      <c r="A60" s="196" t="s">
        <v>85</v>
      </c>
      <c r="B60" s="197">
        <v>997013871</v>
      </c>
      <c r="C60" s="136" t="s">
        <v>1064</v>
      </c>
      <c r="D60" s="198" t="s">
        <v>73</v>
      </c>
      <c r="E60" s="199">
        <f>K39</f>
        <v>0.23955200000000001</v>
      </c>
      <c r="F60" s="199"/>
      <c r="G60" s="200">
        <f>$E60*F60</f>
        <v>0</v>
      </c>
      <c r="H60" s="85"/>
      <c r="I60" s="85"/>
      <c r="J60" s="201"/>
      <c r="K60" s="201"/>
      <c r="L60" s="85"/>
      <c r="M60" s="85"/>
      <c r="N60" s="202"/>
      <c r="O60" s="794"/>
      <c r="P60" s="806"/>
      <c r="Q60" s="806"/>
      <c r="R60" s="808"/>
      <c r="S60" s="203"/>
      <c r="T60" s="203"/>
    </row>
    <row r="61" spans="1:20" s="204" customFormat="1" ht="34.5" customHeight="1">
      <c r="A61" s="196" t="s">
        <v>89</v>
      </c>
      <c r="B61" s="237" t="s">
        <v>1043</v>
      </c>
      <c r="C61" s="711" t="s">
        <v>1044</v>
      </c>
      <c r="D61" s="712" t="s">
        <v>73</v>
      </c>
      <c r="E61" s="713">
        <f>K35</f>
        <v>0.048</v>
      </c>
      <c r="F61" s="199"/>
      <c r="G61" s="200">
        <f>E61*F61</f>
        <v>0</v>
      </c>
      <c r="H61" s="85"/>
      <c r="I61" s="85"/>
      <c r="J61" s="201"/>
      <c r="K61" s="201"/>
      <c r="L61" s="85"/>
      <c r="M61" s="85"/>
      <c r="N61" s="202"/>
      <c r="O61" s="794"/>
      <c r="P61" s="806"/>
      <c r="Q61" s="806"/>
      <c r="R61" s="808"/>
      <c r="S61" s="203"/>
      <c r="T61" s="203"/>
    </row>
    <row r="62" spans="1:7" ht="14" thickBot="1">
      <c r="A62" s="218"/>
      <c r="B62" s="412"/>
      <c r="C62" s="220"/>
      <c r="D62" s="221"/>
      <c r="E62" s="413"/>
      <c r="F62" s="414"/>
      <c r="G62" s="415"/>
    </row>
    <row r="63" spans="1:7" ht="19.5" customHeight="1">
      <c r="A63" s="225"/>
      <c r="B63" s="226"/>
      <c r="C63" s="227" t="s">
        <v>113</v>
      </c>
      <c r="D63" s="226"/>
      <c r="E63" s="416"/>
      <c r="F63" s="417"/>
      <c r="G63" s="230">
        <f>SUBTOTAL(9,G34:G62)</f>
        <v>0</v>
      </c>
    </row>
    <row r="64" spans="1:7" ht="12.75">
      <c r="A64" s="179"/>
      <c r="B64" s="180"/>
      <c r="C64" s="180"/>
      <c r="D64" s="180"/>
      <c r="E64" s="180"/>
      <c r="F64" s="180"/>
      <c r="G64" s="396"/>
    </row>
    <row r="65" spans="1:7" ht="17.25" customHeight="1">
      <c r="A65" s="182" t="s">
        <v>100</v>
      </c>
      <c r="B65" s="183"/>
      <c r="C65" s="184" t="s">
        <v>114</v>
      </c>
      <c r="D65" s="397"/>
      <c r="E65" s="398"/>
      <c r="F65" s="187"/>
      <c r="G65" s="399"/>
    </row>
    <row r="66" spans="1:7" ht="12.75">
      <c r="A66" s="189"/>
      <c r="B66" s="400"/>
      <c r="C66" s="232"/>
      <c r="D66" s="233"/>
      <c r="E66" s="401"/>
      <c r="F66" s="402"/>
      <c r="G66" s="403"/>
    </row>
    <row r="67" spans="1:20" s="204" customFormat="1" ht="29.25" customHeight="1">
      <c r="A67" s="196" t="s">
        <v>115</v>
      </c>
      <c r="B67" s="197">
        <v>319202214</v>
      </c>
      <c r="C67" s="136" t="s">
        <v>1403</v>
      </c>
      <c r="D67" s="198" t="s">
        <v>116</v>
      </c>
      <c r="E67" s="199">
        <v>13.4</v>
      </c>
      <c r="F67" s="199"/>
      <c r="G67" s="200">
        <f>E67*F67</f>
        <v>0</v>
      </c>
      <c r="H67" s="201">
        <v>0.00122</v>
      </c>
      <c r="I67" s="201">
        <f>E67*H67</f>
        <v>0.016348</v>
      </c>
      <c r="J67" s="85">
        <v>4E-05</v>
      </c>
      <c r="K67" s="85">
        <f>E67*J67</f>
        <v>0.000536</v>
      </c>
      <c r="L67" s="85"/>
      <c r="M67" s="85"/>
      <c r="N67" s="202"/>
      <c r="O67" s="203"/>
      <c r="P67" s="203"/>
      <c r="Q67" s="203"/>
      <c r="R67" s="203"/>
      <c r="S67" s="203"/>
      <c r="T67" s="203"/>
    </row>
    <row r="68" spans="1:18" s="244" customFormat="1" ht="21.75" customHeight="1">
      <c r="A68" s="196" t="s">
        <v>117</v>
      </c>
      <c r="B68" s="237">
        <v>310279842</v>
      </c>
      <c r="C68" s="238" t="s">
        <v>120</v>
      </c>
      <c r="D68" s="197" t="s">
        <v>52</v>
      </c>
      <c r="E68" s="239">
        <f>SUM(D69:D69)</f>
        <v>0.5551562499999999</v>
      </c>
      <c r="F68" s="239"/>
      <c r="G68" s="240">
        <f>$E68*F68</f>
        <v>0</v>
      </c>
      <c r="H68" s="241">
        <v>1.32715</v>
      </c>
      <c r="I68" s="242">
        <f>E68*H68</f>
        <v>0.7367756171875</v>
      </c>
      <c r="J68" s="243">
        <v>0</v>
      </c>
      <c r="K68" s="241">
        <f>E68*J68</f>
        <v>0</v>
      </c>
      <c r="L68" s="241"/>
      <c r="O68" s="796"/>
      <c r="P68" s="811"/>
      <c r="Q68" s="811"/>
      <c r="R68" s="818"/>
    </row>
    <row r="69" spans="1:18" s="251" customFormat="1" ht="17.25" customHeight="1">
      <c r="A69" s="196"/>
      <c r="B69" s="205"/>
      <c r="C69" s="245" t="s">
        <v>2027</v>
      </c>
      <c r="D69" s="246">
        <f>1*0.6*0.95-0.125*0.125*0.95</f>
        <v>0.5551562499999999</v>
      </c>
      <c r="E69" s="247"/>
      <c r="F69" s="247"/>
      <c r="G69" s="248"/>
      <c r="H69" s="249"/>
      <c r="I69" s="250"/>
      <c r="J69" s="250"/>
      <c r="K69" s="250"/>
      <c r="L69" s="250"/>
      <c r="O69" s="796"/>
      <c r="P69" s="811"/>
      <c r="Q69" s="811"/>
      <c r="R69" s="812"/>
    </row>
    <row r="70" spans="1:18" s="244" customFormat="1" ht="21.75" customHeight="1">
      <c r="A70" s="196" t="s">
        <v>119</v>
      </c>
      <c r="B70" s="237">
        <v>317944323</v>
      </c>
      <c r="C70" s="238" t="s">
        <v>1549</v>
      </c>
      <c r="D70" s="197" t="s">
        <v>73</v>
      </c>
      <c r="E70" s="239">
        <f>SUM(D71:D71)</f>
        <v>0.09642240000000002</v>
      </c>
      <c r="F70" s="239"/>
      <c r="G70" s="240">
        <f>$E70*F70</f>
        <v>0</v>
      </c>
      <c r="H70" s="241">
        <v>1.09</v>
      </c>
      <c r="I70" s="242">
        <f>E70*H70</f>
        <v>0.10510041600000003</v>
      </c>
      <c r="J70" s="243">
        <v>0</v>
      </c>
      <c r="K70" s="241">
        <f>E70*J70</f>
        <v>0</v>
      </c>
      <c r="L70" s="241"/>
      <c r="O70" s="796"/>
      <c r="P70" s="811"/>
      <c r="Q70" s="811"/>
      <c r="R70" s="818"/>
    </row>
    <row r="71" spans="1:18" s="251" customFormat="1" ht="17.25" customHeight="1">
      <c r="A71" s="196"/>
      <c r="B71" s="706" t="s">
        <v>1548</v>
      </c>
      <c r="C71" s="716" t="s">
        <v>2028</v>
      </c>
      <c r="D71" s="717">
        <f>1.55*14.4*1.08*4*0.001</f>
        <v>0.09642240000000002</v>
      </c>
      <c r="E71" s="718"/>
      <c r="F71" s="718"/>
      <c r="G71" s="719"/>
      <c r="H71" s="249"/>
      <c r="I71" s="250"/>
      <c r="J71" s="250"/>
      <c r="K71" s="250"/>
      <c r="L71" s="250"/>
      <c r="O71" s="796"/>
      <c r="P71" s="811"/>
      <c r="Q71" s="811"/>
      <c r="R71" s="812"/>
    </row>
    <row r="72" spans="1:18" s="244" customFormat="1" ht="21.75" customHeight="1">
      <c r="A72" s="196" t="s">
        <v>295</v>
      </c>
      <c r="B72" s="237" t="s">
        <v>1135</v>
      </c>
      <c r="C72" s="238" t="s">
        <v>1136</v>
      </c>
      <c r="D72" s="197" t="s">
        <v>52</v>
      </c>
      <c r="E72" s="239">
        <f>SUM(D73:D73)</f>
        <v>0.29450000000000004</v>
      </c>
      <c r="F72" s="239"/>
      <c r="G72" s="240">
        <f>$E72*F72</f>
        <v>0</v>
      </c>
      <c r="H72" s="241">
        <v>1.94302</v>
      </c>
      <c r="I72" s="242">
        <f>E72*H72</f>
        <v>0.5722193900000001</v>
      </c>
      <c r="J72" s="243">
        <v>0</v>
      </c>
      <c r="K72" s="241">
        <f>E72*J72</f>
        <v>0</v>
      </c>
      <c r="L72" s="241"/>
      <c r="O72" s="796"/>
      <c r="P72" s="811"/>
      <c r="Q72" s="811"/>
      <c r="R72" s="818"/>
    </row>
    <row r="73" spans="1:18" s="251" customFormat="1" ht="17.25" customHeight="1">
      <c r="A73" s="196"/>
      <c r="B73" s="706"/>
      <c r="C73" s="716" t="s">
        <v>2029</v>
      </c>
      <c r="D73" s="717">
        <f>1.55*0.2*0.95</f>
        <v>0.29450000000000004</v>
      </c>
      <c r="E73" s="718"/>
      <c r="F73" s="718"/>
      <c r="G73" s="719"/>
      <c r="H73" s="249"/>
      <c r="I73" s="250"/>
      <c r="J73" s="250"/>
      <c r="K73" s="250"/>
      <c r="L73" s="250"/>
      <c r="O73" s="796"/>
      <c r="P73" s="811"/>
      <c r="Q73" s="811"/>
      <c r="R73" s="812"/>
    </row>
    <row r="74" spans="1:12" s="204" customFormat="1" ht="22">
      <c r="A74" s="196" t="s">
        <v>299</v>
      </c>
      <c r="B74" s="305" t="s">
        <v>2014</v>
      </c>
      <c r="C74" s="306" t="s">
        <v>2015</v>
      </c>
      <c r="D74" s="305" t="s">
        <v>46</v>
      </c>
      <c r="E74" s="439">
        <f>SUM(D75:D76)</f>
        <v>41.2478</v>
      </c>
      <c r="F74" s="439"/>
      <c r="G74" s="200">
        <f aca="true" t="shared" si="0" ref="G74:G79">$E74*F74</f>
        <v>0</v>
      </c>
      <c r="H74" s="481"/>
      <c r="I74" s="481"/>
      <c r="J74" s="481"/>
      <c r="K74" s="481"/>
      <c r="L74" s="481"/>
    </row>
    <row r="75" spans="1:20" s="214" customFormat="1" ht="15" customHeight="1">
      <c r="A75" s="196"/>
      <c r="B75" s="205" t="s">
        <v>1897</v>
      </c>
      <c r="C75" s="206" t="s">
        <v>2019</v>
      </c>
      <c r="D75" s="207">
        <f>(3.6*2+2.48*2)*2.2-0.9*1.97</f>
        <v>24.979000000000003</v>
      </c>
      <c r="E75" s="208"/>
      <c r="F75" s="208"/>
      <c r="G75" s="209"/>
      <c r="H75" s="210"/>
      <c r="I75" s="210"/>
      <c r="J75" s="211"/>
      <c r="K75" s="85"/>
      <c r="L75" s="211"/>
      <c r="M75" s="211"/>
      <c r="N75" s="212"/>
      <c r="O75" s="213"/>
      <c r="P75" s="213"/>
      <c r="Q75" s="213"/>
      <c r="R75" s="213"/>
      <c r="S75" s="213"/>
      <c r="T75" s="213"/>
    </row>
    <row r="76" spans="1:20" s="214" customFormat="1" ht="15" customHeight="1">
      <c r="A76" s="455"/>
      <c r="B76" s="776" t="s">
        <v>2020</v>
      </c>
      <c r="C76" s="880" t="s">
        <v>2021</v>
      </c>
      <c r="D76" s="881">
        <f>2.48*3.28*2</f>
        <v>16.2688</v>
      </c>
      <c r="E76" s="882"/>
      <c r="F76" s="882"/>
      <c r="G76" s="866"/>
      <c r="H76" s="210"/>
      <c r="I76" s="210"/>
      <c r="J76" s="211"/>
      <c r="K76" s="85"/>
      <c r="L76" s="211"/>
      <c r="M76" s="211"/>
      <c r="N76" s="212"/>
      <c r="O76" s="213"/>
      <c r="P76" s="213"/>
      <c r="Q76" s="213"/>
      <c r="R76" s="213"/>
      <c r="S76" s="213"/>
      <c r="T76" s="213"/>
    </row>
    <row r="77" spans="1:12" s="204" customFormat="1" ht="18" customHeight="1">
      <c r="A77" s="196" t="s">
        <v>301</v>
      </c>
      <c r="B77" s="305" t="s">
        <v>2022</v>
      </c>
      <c r="C77" s="306" t="s">
        <v>2023</v>
      </c>
      <c r="D77" s="305" t="s">
        <v>46</v>
      </c>
      <c r="E77" s="439">
        <f>E74*1.02+0.03</f>
        <v>42.102756</v>
      </c>
      <c r="F77" s="439"/>
      <c r="G77" s="200">
        <f t="shared" si="0"/>
        <v>0</v>
      </c>
      <c r="H77" s="481">
        <v>0.0164</v>
      </c>
      <c r="I77" s="201">
        <f>E77*H77</f>
        <v>0.6904851984</v>
      </c>
      <c r="J77" s="85">
        <v>0</v>
      </c>
      <c r="K77" s="85">
        <f>E77*J77</f>
        <v>0</v>
      </c>
      <c r="L77" s="481"/>
    </row>
    <row r="78" spans="1:12" s="204" customFormat="1" ht="21" customHeight="1">
      <c r="A78" s="196" t="s">
        <v>304</v>
      </c>
      <c r="B78" s="305" t="s">
        <v>2016</v>
      </c>
      <c r="C78" s="306" t="s">
        <v>2017</v>
      </c>
      <c r="D78" s="305" t="s">
        <v>46</v>
      </c>
      <c r="E78" s="439">
        <v>41.25</v>
      </c>
      <c r="F78" s="439"/>
      <c r="G78" s="200">
        <f t="shared" si="0"/>
        <v>0</v>
      </c>
      <c r="H78" s="481">
        <v>0.017</v>
      </c>
      <c r="I78" s="201">
        <f>E78*H78</f>
        <v>0.70125</v>
      </c>
      <c r="J78" s="85">
        <v>0</v>
      </c>
      <c r="K78" s="85">
        <f>E78*J78</f>
        <v>0</v>
      </c>
      <c r="L78" s="481"/>
    </row>
    <row r="79" spans="1:12" s="204" customFormat="1" ht="34.5" customHeight="1">
      <c r="A79" s="196" t="s">
        <v>307</v>
      </c>
      <c r="B79" s="305" t="s">
        <v>2024</v>
      </c>
      <c r="C79" s="306" t="s">
        <v>2018</v>
      </c>
      <c r="D79" s="305" t="s">
        <v>46</v>
      </c>
      <c r="E79" s="439">
        <f>SUM(D80)</f>
        <v>8.1344</v>
      </c>
      <c r="F79" s="439"/>
      <c r="G79" s="478">
        <f t="shared" si="0"/>
        <v>0</v>
      </c>
      <c r="H79" s="481">
        <v>0.003</v>
      </c>
      <c r="I79" s="201">
        <f>E79*H79</f>
        <v>0.0244032</v>
      </c>
      <c r="J79" s="85">
        <v>0</v>
      </c>
      <c r="K79" s="85">
        <f>E79*J79</f>
        <v>0</v>
      </c>
      <c r="L79" s="85"/>
    </row>
    <row r="80" spans="1:20" s="214" customFormat="1" ht="15" customHeight="1">
      <c r="A80" s="455"/>
      <c r="B80" s="776" t="s">
        <v>2025</v>
      </c>
      <c r="C80" s="880" t="s">
        <v>2026</v>
      </c>
      <c r="D80" s="881">
        <f>2.48*3.28</f>
        <v>8.1344</v>
      </c>
      <c r="E80" s="882"/>
      <c r="F80" s="882"/>
      <c r="G80" s="866"/>
      <c r="H80" s="210"/>
      <c r="I80" s="210"/>
      <c r="J80" s="211"/>
      <c r="K80" s="85"/>
      <c r="L80" s="211"/>
      <c r="M80" s="211"/>
      <c r="N80" s="212"/>
      <c r="O80" s="213"/>
      <c r="P80" s="213"/>
      <c r="Q80" s="213"/>
      <c r="R80" s="213"/>
      <c r="S80" s="213"/>
      <c r="T80" s="213"/>
    </row>
    <row r="81" spans="1:7" ht="14" thickBot="1">
      <c r="A81" s="218"/>
      <c r="B81" s="412"/>
      <c r="C81" s="220"/>
      <c r="D81" s="221"/>
      <c r="E81" s="413"/>
      <c r="F81" s="414"/>
      <c r="G81" s="415"/>
    </row>
    <row r="82" spans="1:7" ht="12.75">
      <c r="A82" s="225"/>
      <c r="B82" s="226"/>
      <c r="C82" s="227" t="s">
        <v>113</v>
      </c>
      <c r="D82" s="226"/>
      <c r="E82" s="416"/>
      <c r="F82" s="417"/>
      <c r="G82" s="230">
        <f>SUBTOTAL(9,G66:G81)</f>
        <v>0</v>
      </c>
    </row>
    <row r="83" spans="1:7" ht="13" thickBot="1">
      <c r="A83" s="179"/>
      <c r="B83" s="180"/>
      <c r="C83" s="180"/>
      <c r="D83" s="180"/>
      <c r="E83" s="180"/>
      <c r="F83" s="180"/>
      <c r="G83" s="396"/>
    </row>
    <row r="84" spans="1:20" ht="17.25" customHeight="1" thickBot="1">
      <c r="A84" s="182" t="s">
        <v>121</v>
      </c>
      <c r="B84" s="183"/>
      <c r="C84" s="184" t="s">
        <v>1139</v>
      </c>
      <c r="D84" s="185"/>
      <c r="E84" s="186"/>
      <c r="F84" s="187"/>
      <c r="G84" s="188"/>
      <c r="H84" s="77"/>
      <c r="I84" s="77"/>
      <c r="J84" s="77"/>
      <c r="K84" s="77"/>
      <c r="L84" s="77"/>
      <c r="M84" s="77"/>
      <c r="N84" s="78"/>
      <c r="O84" s="791"/>
      <c r="P84" s="798"/>
      <c r="Q84" s="798"/>
      <c r="R84" s="809"/>
      <c r="S84" s="79"/>
      <c r="T84" s="79"/>
    </row>
    <row r="85" spans="1:20" ht="12.75">
      <c r="A85" s="189"/>
      <c r="B85" s="231"/>
      <c r="C85" s="232"/>
      <c r="D85" s="233"/>
      <c r="E85" s="234"/>
      <c r="F85" s="235"/>
      <c r="G85" s="236"/>
      <c r="H85" s="77"/>
      <c r="I85" s="77"/>
      <c r="J85" s="77"/>
      <c r="K85" s="77"/>
      <c r="L85" s="77"/>
      <c r="M85" s="77"/>
      <c r="N85" s="78"/>
      <c r="O85" s="791"/>
      <c r="P85" s="798"/>
      <c r="Q85" s="798"/>
      <c r="R85" s="809"/>
      <c r="S85" s="79"/>
      <c r="T85" s="79"/>
    </row>
    <row r="86" spans="1:18" s="244" customFormat="1" ht="21.75" customHeight="1">
      <c r="A86" s="268" t="s">
        <v>123</v>
      </c>
      <c r="B86" s="237" t="s">
        <v>1140</v>
      </c>
      <c r="C86" s="238" t="s">
        <v>1141</v>
      </c>
      <c r="D86" s="197" t="s">
        <v>175</v>
      </c>
      <c r="E86" s="239">
        <f>SUM(D87:D87)</f>
        <v>8</v>
      </c>
      <c r="F86" s="239"/>
      <c r="G86" s="240">
        <f>$E86*F86</f>
        <v>0</v>
      </c>
      <c r="H86" s="241">
        <v>0.02278</v>
      </c>
      <c r="I86" s="242">
        <f>E86*H86</f>
        <v>0.18224</v>
      </c>
      <c r="J86" s="243">
        <v>0</v>
      </c>
      <c r="K86" s="241">
        <f>E86*J86</f>
        <v>0</v>
      </c>
      <c r="L86" s="241"/>
      <c r="O86" s="796"/>
      <c r="P86" s="811"/>
      <c r="Q86" s="811"/>
      <c r="R86" s="818"/>
    </row>
    <row r="87" spans="1:18" s="251" customFormat="1" ht="17.25" customHeight="1">
      <c r="A87" s="196"/>
      <c r="B87" s="706" t="s">
        <v>1548</v>
      </c>
      <c r="C87" s="765">
        <v>8</v>
      </c>
      <c r="D87" s="717">
        <v>8</v>
      </c>
      <c r="E87" s="718"/>
      <c r="F87" s="718"/>
      <c r="G87" s="719"/>
      <c r="H87" s="249"/>
      <c r="I87" s="250"/>
      <c r="J87" s="250"/>
      <c r="K87" s="250"/>
      <c r="L87" s="250"/>
      <c r="O87" s="796"/>
      <c r="P87" s="811"/>
      <c r="Q87" s="811"/>
      <c r="R87" s="812"/>
    </row>
    <row r="88" spans="1:20" ht="14" thickBot="1">
      <c r="A88" s="218"/>
      <c r="B88" s="219"/>
      <c r="C88" s="220"/>
      <c r="D88" s="221"/>
      <c r="E88" s="222"/>
      <c r="F88" s="223"/>
      <c r="G88" s="224"/>
      <c r="H88" s="77"/>
      <c r="I88" s="77"/>
      <c r="J88" s="77"/>
      <c r="K88" s="77"/>
      <c r="L88" s="77"/>
      <c r="M88" s="77"/>
      <c r="N88" s="78"/>
      <c r="O88" s="791"/>
      <c r="P88" s="798"/>
      <c r="Q88" s="798"/>
      <c r="R88" s="809"/>
      <c r="S88" s="79"/>
      <c r="T88" s="79"/>
    </row>
    <row r="89" spans="1:20" ht="13" thickBot="1">
      <c r="A89" s="225"/>
      <c r="B89" s="226"/>
      <c r="C89" s="227" t="s">
        <v>113</v>
      </c>
      <c r="D89" s="226"/>
      <c r="E89" s="228"/>
      <c r="F89" s="229"/>
      <c r="G89" s="230">
        <f>SUBTOTAL(9,G85:G88)</f>
        <v>0</v>
      </c>
      <c r="H89" s="77"/>
      <c r="I89" s="77"/>
      <c r="J89" s="77"/>
      <c r="K89" s="77"/>
      <c r="L89" s="77"/>
      <c r="M89" s="77"/>
      <c r="N89" s="78"/>
      <c r="O89" s="791"/>
      <c r="P89" s="798"/>
      <c r="Q89" s="798"/>
      <c r="R89" s="809"/>
      <c r="S89" s="79"/>
      <c r="T89" s="79"/>
    </row>
    <row r="90" spans="1:20" ht="13" thickBot="1">
      <c r="A90" s="179"/>
      <c r="B90" s="180"/>
      <c r="C90" s="180"/>
      <c r="D90" s="180"/>
      <c r="E90" s="180"/>
      <c r="F90" s="180"/>
      <c r="G90" s="181"/>
      <c r="H90" s="77"/>
      <c r="I90" s="77"/>
      <c r="J90" s="77"/>
      <c r="K90" s="77"/>
      <c r="L90" s="77"/>
      <c r="M90" s="77"/>
      <c r="N90" s="78"/>
      <c r="O90" s="791"/>
      <c r="P90" s="798"/>
      <c r="Q90" s="798"/>
      <c r="R90" s="809"/>
      <c r="S90" s="79"/>
      <c r="T90" s="79"/>
    </row>
    <row r="91" spans="1:7" ht="17.25" customHeight="1" thickBot="1">
      <c r="A91" s="182" t="s">
        <v>98</v>
      </c>
      <c r="B91" s="183"/>
      <c r="C91" s="184" t="s">
        <v>122</v>
      </c>
      <c r="D91" s="397"/>
      <c r="E91" s="398"/>
      <c r="F91" s="187"/>
      <c r="G91" s="399"/>
    </row>
    <row r="92" spans="1:7" ht="12.75">
      <c r="A92" s="189"/>
      <c r="B92" s="400"/>
      <c r="C92" s="232"/>
      <c r="D92" s="233"/>
      <c r="E92" s="401"/>
      <c r="F92" s="402"/>
      <c r="G92" s="403"/>
    </row>
    <row r="93" spans="1:20" s="261" customFormat="1" ht="12.75">
      <c r="A93" s="262"/>
      <c r="B93" s="253"/>
      <c r="C93" s="254" t="s">
        <v>1476</v>
      </c>
      <c r="D93" s="253"/>
      <c r="E93" s="256"/>
      <c r="F93" s="256"/>
      <c r="G93" s="257"/>
      <c r="H93" s="258"/>
      <c r="I93" s="258"/>
      <c r="J93" s="258"/>
      <c r="K93" s="258"/>
      <c r="L93" s="258"/>
      <c r="M93" s="258"/>
      <c r="N93" s="259"/>
      <c r="O93" s="260"/>
      <c r="P93" s="260"/>
      <c r="Q93" s="260"/>
      <c r="R93" s="260"/>
      <c r="S93" s="260"/>
      <c r="T93" s="260"/>
    </row>
    <row r="94" spans="1:20" s="204" customFormat="1" ht="24" customHeight="1">
      <c r="A94" s="268" t="s">
        <v>156</v>
      </c>
      <c r="B94" s="197" t="s">
        <v>1437</v>
      </c>
      <c r="C94" s="136" t="s">
        <v>1436</v>
      </c>
      <c r="D94" s="198" t="s">
        <v>46</v>
      </c>
      <c r="E94" s="199">
        <f>SUM(D95:D96)</f>
        <v>135.99900000000002</v>
      </c>
      <c r="F94" s="199"/>
      <c r="G94" s="200">
        <f>E94*F94</f>
        <v>0</v>
      </c>
      <c r="H94" s="201">
        <v>0</v>
      </c>
      <c r="I94" s="201">
        <f>E94*H94</f>
        <v>0</v>
      </c>
      <c r="J94" s="85">
        <v>0</v>
      </c>
      <c r="K94" s="85">
        <f>E94*J94</f>
        <v>0</v>
      </c>
      <c r="L94" s="85"/>
      <c r="M94" s="85"/>
      <c r="N94" s="202"/>
      <c r="O94" s="203"/>
      <c r="P94" s="203"/>
      <c r="Q94" s="203"/>
      <c r="R94" s="203"/>
      <c r="S94" s="203"/>
      <c r="T94" s="203"/>
    </row>
    <row r="95" spans="1:20" s="214" customFormat="1" ht="21" customHeight="1">
      <c r="A95" s="750"/>
      <c r="B95" s="205" t="s">
        <v>1897</v>
      </c>
      <c r="C95" s="758" t="s">
        <v>2044</v>
      </c>
      <c r="D95" s="864">
        <f>17.6*3-1.14*0.85+(1.14+0.85*2)*0.95+0.07</f>
        <v>54.599000000000004</v>
      </c>
      <c r="E95" s="865"/>
      <c r="F95" s="865"/>
      <c r="G95" s="866"/>
      <c r="H95" s="210"/>
      <c r="I95" s="210"/>
      <c r="J95" s="211"/>
      <c r="K95" s="673"/>
      <c r="L95" s="705"/>
      <c r="M95" s="211"/>
      <c r="N95" s="212"/>
      <c r="O95" s="794"/>
      <c r="P95" s="806"/>
      <c r="Q95" s="806"/>
      <c r="R95" s="807"/>
      <c r="S95" s="213"/>
      <c r="T95" s="213"/>
    </row>
    <row r="96" spans="1:20" s="214" customFormat="1" ht="15" customHeight="1">
      <c r="A96" s="196"/>
      <c r="B96" s="205" t="s">
        <v>1386</v>
      </c>
      <c r="C96" s="784" t="s">
        <v>2040</v>
      </c>
      <c r="D96" s="207">
        <f>39.2+38.3+3.9</f>
        <v>81.4</v>
      </c>
      <c r="E96" s="208"/>
      <c r="F96" s="208"/>
      <c r="G96" s="209"/>
      <c r="H96" s="210"/>
      <c r="I96" s="210"/>
      <c r="J96" s="211"/>
      <c r="K96" s="673"/>
      <c r="L96" s="705"/>
      <c r="M96" s="211"/>
      <c r="N96" s="212"/>
      <c r="O96" s="794"/>
      <c r="P96" s="806"/>
      <c r="Q96" s="806"/>
      <c r="R96" s="807"/>
      <c r="S96" s="213"/>
      <c r="T96" s="213"/>
    </row>
    <row r="97" spans="1:20" s="204" customFormat="1" ht="24" customHeight="1">
      <c r="A97" s="268" t="s">
        <v>159</v>
      </c>
      <c r="B97" s="197" t="s">
        <v>2042</v>
      </c>
      <c r="C97" s="136" t="s">
        <v>2041</v>
      </c>
      <c r="D97" s="198" t="s">
        <v>46</v>
      </c>
      <c r="E97" s="199">
        <f>SUM(D98:D99)</f>
        <v>265.395</v>
      </c>
      <c r="F97" s="199"/>
      <c r="G97" s="200">
        <f>E97*F97</f>
        <v>0</v>
      </c>
      <c r="H97" s="201">
        <v>0</v>
      </c>
      <c r="I97" s="201">
        <f>E97*H97</f>
        <v>0</v>
      </c>
      <c r="J97" s="85">
        <v>0</v>
      </c>
      <c r="K97" s="85">
        <f>E97*J97</f>
        <v>0</v>
      </c>
      <c r="L97" s="85"/>
      <c r="M97" s="85"/>
      <c r="N97" s="202"/>
      <c r="O97" s="203"/>
      <c r="P97" s="203"/>
      <c r="Q97" s="203"/>
      <c r="R97" s="203"/>
      <c r="S97" s="203"/>
      <c r="T97" s="203"/>
    </row>
    <row r="98" spans="1:20" s="214" customFormat="1" ht="21" customHeight="1">
      <c r="A98" s="671"/>
      <c r="B98" s="205" t="s">
        <v>1897</v>
      </c>
      <c r="C98" s="206" t="s">
        <v>2012</v>
      </c>
      <c r="D98" s="207">
        <f>(26.7+34.4)*3-1.14*0.75-1.5*2*2+(1+0.75*2+1.5+2*2)*0.95-0.05</f>
        <v>183.99499999999998</v>
      </c>
      <c r="E98" s="208"/>
      <c r="F98" s="208"/>
      <c r="G98" s="209"/>
      <c r="H98" s="210"/>
      <c r="I98" s="210"/>
      <c r="J98" s="211"/>
      <c r="K98" s="673"/>
      <c r="L98" s="705"/>
      <c r="M98" s="211"/>
      <c r="N98" s="212"/>
      <c r="O98" s="794"/>
      <c r="P98" s="806"/>
      <c r="Q98" s="806"/>
      <c r="R98" s="807"/>
      <c r="S98" s="213"/>
      <c r="T98" s="213"/>
    </row>
    <row r="99" spans="1:20" s="214" customFormat="1" ht="15" customHeight="1">
      <c r="A99" s="196"/>
      <c r="B99" s="205" t="s">
        <v>1386</v>
      </c>
      <c r="C99" s="784" t="s">
        <v>2040</v>
      </c>
      <c r="D99" s="207">
        <f>39.2+38.3+3.9</f>
        <v>81.4</v>
      </c>
      <c r="E99" s="208"/>
      <c r="F99" s="208"/>
      <c r="G99" s="209"/>
      <c r="H99" s="210"/>
      <c r="I99" s="210"/>
      <c r="J99" s="211"/>
      <c r="K99" s="673"/>
      <c r="L99" s="705"/>
      <c r="M99" s="211"/>
      <c r="N99" s="212"/>
      <c r="O99" s="794"/>
      <c r="P99" s="806"/>
      <c r="Q99" s="806"/>
      <c r="R99" s="807"/>
      <c r="S99" s="213"/>
      <c r="T99" s="213"/>
    </row>
    <row r="100" spans="1:20" s="204" customFormat="1" ht="24" customHeight="1">
      <c r="A100" s="268" t="s">
        <v>162</v>
      </c>
      <c r="B100" s="197" t="s">
        <v>1419</v>
      </c>
      <c r="C100" s="136" t="s">
        <v>1420</v>
      </c>
      <c r="D100" s="198" t="s">
        <v>181</v>
      </c>
      <c r="E100" s="199">
        <f>E97*0.127</f>
        <v>33.705165</v>
      </c>
      <c r="F100" s="199"/>
      <c r="G100" s="200">
        <f>E100*F100</f>
        <v>0</v>
      </c>
      <c r="H100" s="201">
        <v>0</v>
      </c>
      <c r="I100" s="201">
        <f>E100*H100</f>
        <v>0</v>
      </c>
      <c r="J100" s="85">
        <v>0</v>
      </c>
      <c r="K100" s="85">
        <f>E100*J100</f>
        <v>0</v>
      </c>
      <c r="L100" s="85"/>
      <c r="M100" s="85"/>
      <c r="N100" s="202"/>
      <c r="O100" s="203"/>
      <c r="P100" s="203"/>
      <c r="Q100" s="203"/>
      <c r="R100" s="203"/>
      <c r="S100" s="203"/>
      <c r="T100" s="203"/>
    </row>
    <row r="101" spans="1:20" s="596" customFormat="1" ht="15.75" customHeight="1">
      <c r="A101" s="683"/>
      <c r="B101" s="681"/>
      <c r="C101" s="678"/>
      <c r="D101" s="685"/>
      <c r="E101" s="679"/>
      <c r="F101" s="679"/>
      <c r="G101" s="680"/>
      <c r="H101" s="592"/>
      <c r="I101" s="592"/>
      <c r="J101" s="593"/>
      <c r="K101" s="593"/>
      <c r="L101" s="593"/>
      <c r="M101" s="593"/>
      <c r="N101" s="594"/>
      <c r="O101" s="595"/>
      <c r="P101" s="595"/>
      <c r="Q101" s="595"/>
      <c r="R101" s="595"/>
      <c r="S101" s="595"/>
      <c r="T101" s="595"/>
    </row>
    <row r="102" spans="1:20" s="204" customFormat="1" ht="24" customHeight="1">
      <c r="A102" s="268" t="s">
        <v>164</v>
      </c>
      <c r="B102" s="197" t="s">
        <v>2035</v>
      </c>
      <c r="C102" s="136" t="s">
        <v>2043</v>
      </c>
      <c r="D102" s="198" t="s">
        <v>46</v>
      </c>
      <c r="E102" s="199">
        <f>SUM(D103:D104)</f>
        <v>135.99900000000002</v>
      </c>
      <c r="F102" s="199"/>
      <c r="G102" s="200">
        <f>E102*F102</f>
        <v>0</v>
      </c>
      <c r="H102" s="201">
        <v>0.00735</v>
      </c>
      <c r="I102" s="201">
        <f>E102*H102</f>
        <v>0.9995926500000002</v>
      </c>
      <c r="J102" s="85">
        <v>0</v>
      </c>
      <c r="K102" s="85">
        <f>E102*J102</f>
        <v>0</v>
      </c>
      <c r="L102" s="85"/>
      <c r="M102" s="85"/>
      <c r="N102" s="202"/>
      <c r="O102" s="203"/>
      <c r="P102" s="203"/>
      <c r="Q102" s="203"/>
      <c r="R102" s="203"/>
      <c r="S102" s="203"/>
      <c r="T102" s="203"/>
    </row>
    <row r="103" spans="1:20" s="214" customFormat="1" ht="21" customHeight="1">
      <c r="A103" s="750"/>
      <c r="B103" s="205" t="s">
        <v>1897</v>
      </c>
      <c r="C103" s="758" t="s">
        <v>2044</v>
      </c>
      <c r="D103" s="864">
        <f>17.6*3-1.14*0.85+(1.14+0.85*2)*0.95+0.07</f>
        <v>54.599000000000004</v>
      </c>
      <c r="E103" s="865"/>
      <c r="F103" s="865"/>
      <c r="G103" s="866"/>
      <c r="H103" s="210"/>
      <c r="I103" s="210"/>
      <c r="J103" s="211"/>
      <c r="K103" s="673"/>
      <c r="L103" s="705"/>
      <c r="M103" s="211"/>
      <c r="N103" s="212"/>
      <c r="O103" s="794"/>
      <c r="P103" s="806"/>
      <c r="Q103" s="806"/>
      <c r="R103" s="807"/>
      <c r="S103" s="213"/>
      <c r="T103" s="213"/>
    </row>
    <row r="104" spans="1:20" s="214" customFormat="1" ht="15" customHeight="1">
      <c r="A104" s="196"/>
      <c r="B104" s="205" t="s">
        <v>1386</v>
      </c>
      <c r="C104" s="784" t="s">
        <v>2040</v>
      </c>
      <c r="D104" s="207">
        <f>39.2+38.3+3.9</f>
        <v>81.4</v>
      </c>
      <c r="E104" s="208"/>
      <c r="F104" s="208"/>
      <c r="G104" s="209"/>
      <c r="H104" s="210"/>
      <c r="I104" s="210"/>
      <c r="J104" s="211"/>
      <c r="K104" s="673"/>
      <c r="L104" s="705"/>
      <c r="M104" s="211"/>
      <c r="N104" s="212"/>
      <c r="O104" s="794"/>
      <c r="P104" s="806"/>
      <c r="Q104" s="806"/>
      <c r="R104" s="807"/>
      <c r="S104" s="213"/>
      <c r="T104" s="213"/>
    </row>
    <row r="105" spans="1:20" s="596" customFormat="1" ht="15.75" customHeight="1">
      <c r="A105" s="683"/>
      <c r="B105" s="681"/>
      <c r="C105" s="678"/>
      <c r="D105" s="685"/>
      <c r="E105" s="679"/>
      <c r="F105" s="679"/>
      <c r="G105" s="680"/>
      <c r="H105" s="592"/>
      <c r="I105" s="592"/>
      <c r="J105" s="593"/>
      <c r="K105" s="593"/>
      <c r="L105" s="593"/>
      <c r="M105" s="593"/>
      <c r="N105" s="594"/>
      <c r="O105" s="595"/>
      <c r="P105" s="595"/>
      <c r="Q105" s="595"/>
      <c r="R105" s="595"/>
      <c r="S105" s="595"/>
      <c r="T105" s="595"/>
    </row>
    <row r="106" spans="1:20" s="204" customFormat="1" ht="30" customHeight="1">
      <c r="A106" s="268" t="s">
        <v>363</v>
      </c>
      <c r="B106" s="197" t="s">
        <v>1467</v>
      </c>
      <c r="C106" s="136" t="s">
        <v>2036</v>
      </c>
      <c r="D106" s="198" t="s">
        <v>46</v>
      </c>
      <c r="E106" s="199">
        <f>E102</f>
        <v>135.99900000000002</v>
      </c>
      <c r="F106" s="199"/>
      <c r="G106" s="200">
        <f>E106*F106</f>
        <v>0</v>
      </c>
      <c r="H106" s="201">
        <v>0.0234</v>
      </c>
      <c r="I106" s="201">
        <f>E106*H106</f>
        <v>3.1823766000000004</v>
      </c>
      <c r="J106" s="85">
        <v>0</v>
      </c>
      <c r="K106" s="85">
        <f>E106*J106</f>
        <v>0</v>
      </c>
      <c r="L106" s="85"/>
      <c r="M106" s="85"/>
      <c r="N106" s="202"/>
      <c r="O106" s="203"/>
      <c r="P106" s="203"/>
      <c r="Q106" s="203"/>
      <c r="R106" s="203"/>
      <c r="S106" s="203"/>
      <c r="T106" s="203"/>
    </row>
    <row r="107" spans="1:20" s="204" customFormat="1" ht="24" customHeight="1">
      <c r="A107" s="268" t="s">
        <v>364</v>
      </c>
      <c r="B107" s="197">
        <v>612311131</v>
      </c>
      <c r="C107" s="136" t="s">
        <v>134</v>
      </c>
      <c r="D107" s="198" t="s">
        <v>46</v>
      </c>
      <c r="E107" s="199">
        <f>SUM(D108)</f>
        <v>54.599000000000004</v>
      </c>
      <c r="F107" s="199"/>
      <c r="G107" s="200">
        <f>E107*F107</f>
        <v>0</v>
      </c>
      <c r="H107" s="201">
        <v>0.003</v>
      </c>
      <c r="I107" s="201">
        <f>E107*H107</f>
        <v>0.16379700000000003</v>
      </c>
      <c r="J107" s="85">
        <v>0</v>
      </c>
      <c r="K107" s="85">
        <f>E107*J107</f>
        <v>0</v>
      </c>
      <c r="L107" s="85"/>
      <c r="M107" s="85"/>
      <c r="N107" s="202"/>
      <c r="O107" s="203"/>
      <c r="P107" s="203"/>
      <c r="Q107" s="203"/>
      <c r="R107" s="203"/>
      <c r="S107" s="203"/>
      <c r="T107" s="203"/>
    </row>
    <row r="108" spans="1:20" s="214" customFormat="1" ht="21" customHeight="1">
      <c r="A108" s="750"/>
      <c r="B108" s="205" t="s">
        <v>1897</v>
      </c>
      <c r="C108" s="758" t="s">
        <v>2044</v>
      </c>
      <c r="D108" s="864">
        <f>17.6*3-1.14*0.85+(1.14+0.85*2)*0.95+0.07</f>
        <v>54.599000000000004</v>
      </c>
      <c r="E108" s="865"/>
      <c r="F108" s="865"/>
      <c r="G108" s="866"/>
      <c r="H108" s="210"/>
      <c r="I108" s="210"/>
      <c r="J108" s="211"/>
      <c r="K108" s="673"/>
      <c r="L108" s="705"/>
      <c r="M108" s="211"/>
      <c r="N108" s="212"/>
      <c r="O108" s="794"/>
      <c r="P108" s="806"/>
      <c r="Q108" s="806"/>
      <c r="R108" s="807"/>
      <c r="S108" s="213"/>
      <c r="T108" s="213"/>
    </row>
    <row r="109" spans="1:20" s="204" customFormat="1" ht="24" customHeight="1">
      <c r="A109" s="268" t="s">
        <v>365</v>
      </c>
      <c r="B109" s="883" t="s">
        <v>2033</v>
      </c>
      <c r="C109" s="884" t="s">
        <v>2034</v>
      </c>
      <c r="D109" s="885" t="s">
        <v>46</v>
      </c>
      <c r="E109" s="886">
        <f>SUM(D110)</f>
        <v>81.4</v>
      </c>
      <c r="F109" s="886"/>
      <c r="G109" s="200">
        <f>E109*F109</f>
        <v>0</v>
      </c>
      <c r="H109" s="201">
        <v>0.003</v>
      </c>
      <c r="I109" s="201">
        <f>E109*H109</f>
        <v>0.24420000000000003</v>
      </c>
      <c r="J109" s="85">
        <v>0</v>
      </c>
      <c r="K109" s="85">
        <f>E109*J109</f>
        <v>0</v>
      </c>
      <c r="L109" s="85"/>
      <c r="M109" s="85"/>
      <c r="N109" s="202"/>
      <c r="O109" s="203"/>
      <c r="P109" s="203"/>
      <c r="Q109" s="203"/>
      <c r="R109" s="203"/>
      <c r="S109" s="203"/>
      <c r="T109" s="203"/>
    </row>
    <row r="110" spans="1:20" s="214" customFormat="1" ht="15" customHeight="1">
      <c r="A110" s="750"/>
      <c r="B110" s="205" t="s">
        <v>1386</v>
      </c>
      <c r="C110" s="784" t="s">
        <v>2040</v>
      </c>
      <c r="D110" s="207">
        <f>39.2+38.3+3.9</f>
        <v>81.4</v>
      </c>
      <c r="E110" s="208"/>
      <c r="F110" s="208"/>
      <c r="G110" s="209"/>
      <c r="H110" s="210"/>
      <c r="I110" s="210"/>
      <c r="J110" s="211"/>
      <c r="K110" s="673"/>
      <c r="L110" s="705"/>
      <c r="M110" s="211"/>
      <c r="N110" s="212"/>
      <c r="O110" s="794"/>
      <c r="P110" s="806"/>
      <c r="Q110" s="806"/>
      <c r="R110" s="807"/>
      <c r="S110" s="213"/>
      <c r="T110" s="213"/>
    </row>
    <row r="111" spans="1:20" s="204" customFormat="1" ht="24" customHeight="1">
      <c r="A111" s="268" t="s">
        <v>366</v>
      </c>
      <c r="B111" s="197" t="s">
        <v>2039</v>
      </c>
      <c r="C111" s="136" t="s">
        <v>2038</v>
      </c>
      <c r="D111" s="198" t="s">
        <v>46</v>
      </c>
      <c r="E111" s="199">
        <f>SUM(D112)</f>
        <v>129.4</v>
      </c>
      <c r="F111" s="199"/>
      <c r="G111" s="200">
        <f>E111*F111</f>
        <v>0</v>
      </c>
      <c r="H111" s="201">
        <v>0.0012</v>
      </c>
      <c r="I111" s="201">
        <f>E111*H111</f>
        <v>0.15528</v>
      </c>
      <c r="J111" s="85">
        <v>0</v>
      </c>
      <c r="K111" s="85">
        <f>E111*J111</f>
        <v>0</v>
      </c>
      <c r="L111" s="85"/>
      <c r="M111" s="85"/>
      <c r="N111" s="202"/>
      <c r="O111" s="203"/>
      <c r="P111" s="203"/>
      <c r="Q111" s="203"/>
      <c r="R111" s="203"/>
      <c r="S111" s="203"/>
      <c r="T111" s="203"/>
    </row>
    <row r="112" spans="1:20" s="596" customFormat="1" ht="24" customHeight="1">
      <c r="A112" s="750"/>
      <c r="B112" s="682"/>
      <c r="C112" s="678" t="s">
        <v>2045</v>
      </c>
      <c r="D112" s="685">
        <f>184-54.6</f>
        <v>129.4</v>
      </c>
      <c r="E112" s="679"/>
      <c r="F112" s="679"/>
      <c r="G112" s="680"/>
      <c r="H112" s="592"/>
      <c r="I112" s="592"/>
      <c r="J112" s="593"/>
      <c r="K112" s="593"/>
      <c r="L112" s="593"/>
      <c r="M112" s="593"/>
      <c r="N112" s="594"/>
      <c r="O112" s="595"/>
      <c r="P112" s="595"/>
      <c r="Q112" s="595"/>
      <c r="R112" s="595"/>
      <c r="S112" s="595"/>
      <c r="T112" s="595"/>
    </row>
    <row r="113" spans="1:20" s="204" customFormat="1" ht="24" customHeight="1">
      <c r="A113" s="268" t="s">
        <v>367</v>
      </c>
      <c r="B113" s="197" t="s">
        <v>321</v>
      </c>
      <c r="C113" s="136" t="s">
        <v>2037</v>
      </c>
      <c r="D113" s="198" t="s">
        <v>46</v>
      </c>
      <c r="E113" s="199">
        <f>E111</f>
        <v>129.4</v>
      </c>
      <c r="F113" s="199"/>
      <c r="G113" s="200">
        <f>E113*F113</f>
        <v>0</v>
      </c>
      <c r="H113" s="201">
        <v>0.00045</v>
      </c>
      <c r="I113" s="201">
        <f>E113*H113</f>
        <v>0.058230000000000004</v>
      </c>
      <c r="J113" s="85">
        <v>0</v>
      </c>
      <c r="K113" s="85">
        <f>E113*J113</f>
        <v>0</v>
      </c>
      <c r="L113" s="85"/>
      <c r="M113" s="85"/>
      <c r="N113" s="202"/>
      <c r="O113" s="203"/>
      <c r="P113" s="203"/>
      <c r="Q113" s="203"/>
      <c r="R113" s="203"/>
      <c r="S113" s="203"/>
      <c r="T113" s="203"/>
    </row>
    <row r="114" spans="1:12" s="251" customFormat="1" ht="17.25" customHeight="1">
      <c r="A114" s="196"/>
      <c r="B114" s="205"/>
      <c r="C114" s="245"/>
      <c r="D114" s="246"/>
      <c r="E114" s="247"/>
      <c r="F114" s="247"/>
      <c r="G114" s="248"/>
      <c r="H114" s="249"/>
      <c r="I114" s="250"/>
      <c r="J114" s="250"/>
      <c r="K114" s="250"/>
      <c r="L114" s="250"/>
    </row>
    <row r="115" spans="1:20" s="271" customFormat="1" ht="21.75" customHeight="1">
      <c r="A115" s="268"/>
      <c r="B115" s="269"/>
      <c r="C115" s="254" t="s">
        <v>135</v>
      </c>
      <c r="D115" s="269"/>
      <c r="E115" s="669"/>
      <c r="F115" s="669"/>
      <c r="G115" s="274"/>
      <c r="H115" s="85"/>
      <c r="I115" s="85"/>
      <c r="J115" s="85"/>
      <c r="K115" s="85"/>
      <c r="L115" s="85"/>
      <c r="M115" s="85"/>
      <c r="N115" s="202"/>
      <c r="O115" s="203"/>
      <c r="P115" s="203"/>
      <c r="Q115" s="203"/>
      <c r="R115" s="203"/>
      <c r="S115" s="203"/>
      <c r="T115" s="203"/>
    </row>
    <row r="116" spans="1:20" s="204" customFormat="1" ht="18.75" customHeight="1">
      <c r="A116" s="268" t="s">
        <v>493</v>
      </c>
      <c r="B116" s="197" t="s">
        <v>1587</v>
      </c>
      <c r="C116" s="136" t="s">
        <v>1588</v>
      </c>
      <c r="D116" s="198" t="s">
        <v>46</v>
      </c>
      <c r="E116" s="199">
        <f>SUM(D117)</f>
        <v>81.4</v>
      </c>
      <c r="F116" s="199"/>
      <c r="G116" s="240">
        <f>$E116*F116</f>
        <v>0</v>
      </c>
      <c r="H116" s="201">
        <v>0</v>
      </c>
      <c r="I116" s="242">
        <f>E116*H116</f>
        <v>0</v>
      </c>
      <c r="J116" s="243">
        <v>0</v>
      </c>
      <c r="K116" s="241">
        <f>E116*J116</f>
        <v>0</v>
      </c>
      <c r="L116" s="85"/>
      <c r="M116" s="85"/>
      <c r="N116" s="202"/>
      <c r="O116" s="203"/>
      <c r="P116" s="203"/>
      <c r="Q116" s="203"/>
      <c r="R116" s="203"/>
      <c r="S116" s="203"/>
      <c r="T116" s="203"/>
    </row>
    <row r="117" spans="1:20" s="214" customFormat="1" ht="15" customHeight="1">
      <c r="A117" s="196"/>
      <c r="B117" s="205"/>
      <c r="C117" s="784" t="s">
        <v>2040</v>
      </c>
      <c r="D117" s="207">
        <f>39.2+38.3+3.9</f>
        <v>81.4</v>
      </c>
      <c r="E117" s="208"/>
      <c r="F117" s="208"/>
      <c r="G117" s="209"/>
      <c r="H117" s="210"/>
      <c r="I117" s="210"/>
      <c r="J117" s="211"/>
      <c r="K117" s="673"/>
      <c r="L117" s="705"/>
      <c r="M117" s="211"/>
      <c r="N117" s="212"/>
      <c r="O117" s="794"/>
      <c r="P117" s="806"/>
      <c r="Q117" s="806"/>
      <c r="R117" s="807"/>
      <c r="S117" s="213"/>
      <c r="T117" s="213"/>
    </row>
    <row r="118" spans="1:20" s="204" customFormat="1" ht="18.75" customHeight="1">
      <c r="A118" s="268" t="s">
        <v>494</v>
      </c>
      <c r="B118" s="197">
        <v>965046119</v>
      </c>
      <c r="C118" s="136" t="s">
        <v>2301</v>
      </c>
      <c r="D118" s="198" t="s">
        <v>46</v>
      </c>
      <c r="E118" s="199">
        <f>SUM(D119)</f>
        <v>407</v>
      </c>
      <c r="F118" s="199"/>
      <c r="G118" s="240">
        <f>$E118*F118</f>
        <v>0</v>
      </c>
      <c r="H118" s="201">
        <v>0</v>
      </c>
      <c r="I118" s="242">
        <f>E118*H118</f>
        <v>0</v>
      </c>
      <c r="J118" s="243">
        <v>0</v>
      </c>
      <c r="K118" s="241">
        <f>E118*J118</f>
        <v>0</v>
      </c>
      <c r="L118" s="85"/>
      <c r="M118" s="85"/>
      <c r="N118" s="202"/>
      <c r="O118" s="203"/>
      <c r="P118" s="203"/>
      <c r="Q118" s="203"/>
      <c r="R118" s="203"/>
      <c r="S118" s="203"/>
      <c r="T118" s="203"/>
    </row>
    <row r="119" spans="1:20" s="214" customFormat="1" ht="15" customHeight="1">
      <c r="A119" s="196"/>
      <c r="B119" s="205"/>
      <c r="C119" s="784" t="s">
        <v>2302</v>
      </c>
      <c r="D119" s="207">
        <f>81.4*5</f>
        <v>407</v>
      </c>
      <c r="E119" s="208"/>
      <c r="F119" s="208"/>
      <c r="G119" s="209"/>
      <c r="H119" s="210"/>
      <c r="I119" s="210"/>
      <c r="J119" s="211"/>
      <c r="K119" s="673"/>
      <c r="L119" s="705"/>
      <c r="M119" s="211"/>
      <c r="N119" s="212"/>
      <c r="O119" s="794"/>
      <c r="P119" s="806"/>
      <c r="Q119" s="806"/>
      <c r="R119" s="807"/>
      <c r="S119" s="213"/>
      <c r="T119" s="213"/>
    </row>
    <row r="120" spans="1:20" s="204" customFormat="1" ht="32.25" customHeight="1">
      <c r="A120" s="268" t="s">
        <v>495</v>
      </c>
      <c r="B120" s="197" t="s">
        <v>1585</v>
      </c>
      <c r="C120" s="136" t="s">
        <v>1586</v>
      </c>
      <c r="D120" s="198" t="s">
        <v>116</v>
      </c>
      <c r="E120" s="199">
        <f>SUM(D121)</f>
        <v>16.3</v>
      </c>
      <c r="F120" s="199"/>
      <c r="G120" s="240">
        <f>$E120*F120</f>
        <v>0</v>
      </c>
      <c r="H120" s="201">
        <v>0.00105</v>
      </c>
      <c r="I120" s="242">
        <f>E120*H120</f>
        <v>0.017115</v>
      </c>
      <c r="J120" s="243">
        <v>0</v>
      </c>
      <c r="K120" s="241">
        <f>E120*J120</f>
        <v>0</v>
      </c>
      <c r="L120" s="85"/>
      <c r="M120" s="85"/>
      <c r="N120" s="202"/>
      <c r="O120" s="203"/>
      <c r="P120" s="203"/>
      <c r="Q120" s="203"/>
      <c r="R120" s="203"/>
      <c r="S120" s="203"/>
      <c r="T120" s="203"/>
    </row>
    <row r="121" spans="1:20" s="214" customFormat="1" ht="15" customHeight="1">
      <c r="A121" s="196"/>
      <c r="B121" s="205"/>
      <c r="C121" s="784" t="s">
        <v>2046</v>
      </c>
      <c r="D121" s="207">
        <f>81.4*0.2+0.02</f>
        <v>16.3</v>
      </c>
      <c r="E121" s="208"/>
      <c r="F121" s="208"/>
      <c r="G121" s="209"/>
      <c r="H121" s="210"/>
      <c r="I121" s="210"/>
      <c r="J121" s="211"/>
      <c r="K121" s="673"/>
      <c r="L121" s="705"/>
      <c r="M121" s="211"/>
      <c r="N121" s="212"/>
      <c r="O121" s="794"/>
      <c r="P121" s="806"/>
      <c r="Q121" s="806"/>
      <c r="R121" s="807"/>
      <c r="S121" s="213"/>
      <c r="T121" s="213"/>
    </row>
    <row r="122" spans="1:20" s="271" customFormat="1" ht="17.25" customHeight="1">
      <c r="A122" s="268" t="s">
        <v>496</v>
      </c>
      <c r="B122" s="269" t="s">
        <v>144</v>
      </c>
      <c r="C122" s="270" t="s">
        <v>1112</v>
      </c>
      <c r="D122" s="269" t="s">
        <v>46</v>
      </c>
      <c r="E122" s="669">
        <v>81.4</v>
      </c>
      <c r="F122" s="669"/>
      <c r="G122" s="200">
        <f>E122*F122</f>
        <v>0</v>
      </c>
      <c r="H122" s="85">
        <v>0.11</v>
      </c>
      <c r="I122" s="201">
        <f>E122*H122</f>
        <v>8.954</v>
      </c>
      <c r="J122" s="85">
        <v>0</v>
      </c>
      <c r="K122" s="85">
        <f>E122*J122</f>
        <v>0</v>
      </c>
      <c r="L122" s="85"/>
      <c r="M122" s="85"/>
      <c r="N122" s="202"/>
      <c r="O122" s="203"/>
      <c r="P122" s="203"/>
      <c r="Q122" s="203"/>
      <c r="R122" s="203"/>
      <c r="S122" s="203"/>
      <c r="T122" s="203"/>
    </row>
    <row r="123" spans="1:20" s="271" customFormat="1" ht="22">
      <c r="A123" s="268" t="s">
        <v>497</v>
      </c>
      <c r="B123" s="269" t="s">
        <v>146</v>
      </c>
      <c r="C123" s="270" t="s">
        <v>1113</v>
      </c>
      <c r="D123" s="269" t="s">
        <v>46</v>
      </c>
      <c r="E123" s="669">
        <f>E122*4</f>
        <v>325.6</v>
      </c>
      <c r="F123" s="669"/>
      <c r="G123" s="200">
        <f>E123*F123</f>
        <v>0</v>
      </c>
      <c r="H123" s="85">
        <v>0.011</v>
      </c>
      <c r="I123" s="201">
        <f>E123*H123</f>
        <v>3.5816</v>
      </c>
      <c r="J123" s="85">
        <v>0</v>
      </c>
      <c r="K123" s="85">
        <f>E123*J123</f>
        <v>0</v>
      </c>
      <c r="L123" s="85"/>
      <c r="M123" s="85"/>
      <c r="N123" s="202"/>
      <c r="O123" s="203"/>
      <c r="P123" s="203"/>
      <c r="Q123" s="203"/>
      <c r="R123" s="203"/>
      <c r="S123" s="203"/>
      <c r="T123" s="203"/>
    </row>
    <row r="124" spans="1:12" s="475" customFormat="1" ht="14" thickBot="1">
      <c r="A124" s="288"/>
      <c r="B124" s="469"/>
      <c r="C124" s="254"/>
      <c r="D124" s="470"/>
      <c r="E124" s="471"/>
      <c r="F124" s="471"/>
      <c r="G124" s="472"/>
      <c r="H124" s="473"/>
      <c r="I124" s="474"/>
      <c r="J124" s="474"/>
      <c r="K124" s="474"/>
      <c r="L124" s="474"/>
    </row>
    <row r="125" spans="1:7" ht="12.75">
      <c r="A125" s="225"/>
      <c r="B125" s="226"/>
      <c r="C125" s="227" t="s">
        <v>113</v>
      </c>
      <c r="D125" s="226"/>
      <c r="E125" s="416"/>
      <c r="F125" s="417"/>
      <c r="G125" s="230">
        <f>SUBTOTAL(9,G92:G124)</f>
        <v>0</v>
      </c>
    </row>
    <row r="126" spans="1:7" ht="13" thickBot="1">
      <c r="A126" s="179"/>
      <c r="B126" s="180"/>
      <c r="C126" s="180"/>
      <c r="D126" s="180"/>
      <c r="E126" s="180"/>
      <c r="F126" s="180"/>
      <c r="G126" s="396"/>
    </row>
    <row r="127" spans="1:7" ht="13" thickBot="1">
      <c r="A127" s="182" t="s">
        <v>166</v>
      </c>
      <c r="B127" s="183"/>
      <c r="C127" s="184" t="s">
        <v>154</v>
      </c>
      <c r="D127" s="397"/>
      <c r="E127" s="398"/>
      <c r="F127" s="187"/>
      <c r="G127" s="399"/>
    </row>
    <row r="128" spans="1:7" ht="12.75">
      <c r="A128" s="189"/>
      <c r="B128" s="400"/>
      <c r="C128" s="232"/>
      <c r="D128" s="233"/>
      <c r="E128" s="401"/>
      <c r="F128" s="402"/>
      <c r="G128" s="403"/>
    </row>
    <row r="129" spans="1:18" s="204" customFormat="1" ht="20.25" customHeight="1">
      <c r="A129" s="455" t="s">
        <v>168</v>
      </c>
      <c r="B129" s="305">
        <v>642944121</v>
      </c>
      <c r="C129" s="306" t="s">
        <v>1740</v>
      </c>
      <c r="D129" s="305" t="s">
        <v>175</v>
      </c>
      <c r="E129" s="439">
        <v>2</v>
      </c>
      <c r="F129" s="439"/>
      <c r="G129" s="200">
        <f>E129*F129</f>
        <v>0</v>
      </c>
      <c r="H129" s="85">
        <v>0.04684</v>
      </c>
      <c r="I129" s="85">
        <f>E129*H129</f>
        <v>0.09368</v>
      </c>
      <c r="J129" s="201">
        <v>0</v>
      </c>
      <c r="K129" s="201">
        <f>E129*J129</f>
        <v>0</v>
      </c>
      <c r="L129" s="481"/>
      <c r="O129" s="794"/>
      <c r="P129" s="806"/>
      <c r="Q129" s="806"/>
      <c r="R129" s="820"/>
    </row>
    <row r="130" spans="1:18" s="204" customFormat="1" ht="20.25" customHeight="1">
      <c r="A130" s="455" t="s">
        <v>268</v>
      </c>
      <c r="B130" s="305" t="s">
        <v>1126</v>
      </c>
      <c r="C130" s="306" t="s">
        <v>1127</v>
      </c>
      <c r="D130" s="305" t="s">
        <v>1924</v>
      </c>
      <c r="E130" s="439">
        <v>2</v>
      </c>
      <c r="F130" s="439"/>
      <c r="G130" s="200">
        <f>E130*F130</f>
        <v>0</v>
      </c>
      <c r="H130" s="85">
        <v>0</v>
      </c>
      <c r="I130" s="85">
        <f>E130*H130</f>
        <v>0</v>
      </c>
      <c r="J130" s="201">
        <v>0</v>
      </c>
      <c r="K130" s="201">
        <f>E130*J130</f>
        <v>0</v>
      </c>
      <c r="L130" s="481"/>
      <c r="O130" s="794"/>
      <c r="P130" s="806"/>
      <c r="Q130" s="806"/>
      <c r="R130" s="820"/>
    </row>
    <row r="131" spans="1:12" s="204" customFormat="1" ht="12.75">
      <c r="A131" s="455"/>
      <c r="B131" s="477"/>
      <c r="C131" s="306"/>
      <c r="D131" s="305"/>
      <c r="E131" s="439"/>
      <c r="F131" s="439"/>
      <c r="G131" s="478"/>
      <c r="H131" s="481"/>
      <c r="I131" s="481"/>
      <c r="J131" s="481"/>
      <c r="K131" s="481"/>
      <c r="L131" s="481"/>
    </row>
    <row r="132" spans="1:20" s="579" customFormat="1" ht="24" customHeight="1">
      <c r="A132" s="824"/>
      <c r="B132" s="825"/>
      <c r="C132" s="826" t="s">
        <v>1819</v>
      </c>
      <c r="D132" s="825"/>
      <c r="E132" s="827"/>
      <c r="F132" s="827"/>
      <c r="G132" s="828"/>
      <c r="H132" s="217"/>
      <c r="I132" s="217"/>
      <c r="J132" s="216"/>
      <c r="K132" s="216"/>
      <c r="L132" s="829"/>
      <c r="O132" s="794"/>
      <c r="P132" s="806"/>
      <c r="Q132" s="806"/>
      <c r="R132" s="820"/>
      <c r="S132" s="204"/>
      <c r="T132" s="204"/>
    </row>
    <row r="133" spans="1:12" s="244" customFormat="1" ht="135.75" customHeight="1">
      <c r="A133" s="455" t="s">
        <v>269</v>
      </c>
      <c r="B133" s="433" t="s">
        <v>2047</v>
      </c>
      <c r="C133" s="294" t="s">
        <v>2050</v>
      </c>
      <c r="D133" s="295" t="s">
        <v>158</v>
      </c>
      <c r="E133" s="239">
        <v>1</v>
      </c>
      <c r="F133" s="296"/>
      <c r="G133" s="240">
        <f>$E133*F133</f>
        <v>0</v>
      </c>
      <c r="J133" s="242"/>
      <c r="K133" s="241"/>
      <c r="L133" s="241"/>
    </row>
    <row r="134" spans="1:12" s="244" customFormat="1" ht="147.75" customHeight="1">
      <c r="A134" s="455" t="s">
        <v>329</v>
      </c>
      <c r="B134" s="433" t="s">
        <v>2048</v>
      </c>
      <c r="C134" s="735" t="s">
        <v>2049</v>
      </c>
      <c r="D134" s="295" t="s">
        <v>158</v>
      </c>
      <c r="E134" s="870">
        <v>1</v>
      </c>
      <c r="F134" s="871"/>
      <c r="G134" s="240">
        <f>$E134*F134</f>
        <v>0</v>
      </c>
      <c r="J134" s="242"/>
      <c r="K134" s="241"/>
      <c r="L134" s="241"/>
    </row>
    <row r="135" spans="1:7" ht="14" thickBot="1">
      <c r="A135" s="218"/>
      <c r="B135" s="412"/>
      <c r="C135" s="220"/>
      <c r="D135" s="221"/>
      <c r="E135" s="413"/>
      <c r="F135" s="414"/>
      <c r="G135" s="415"/>
    </row>
    <row r="136" spans="1:7" ht="12.75">
      <c r="A136" s="225"/>
      <c r="B136" s="226"/>
      <c r="C136" s="227" t="s">
        <v>113</v>
      </c>
      <c r="D136" s="226"/>
      <c r="E136" s="416"/>
      <c r="F136" s="417"/>
      <c r="G136" s="230">
        <f>SUBTOTAL(9,G128:G135)</f>
        <v>0</v>
      </c>
    </row>
    <row r="137" spans="1:7" ht="13" thickBot="1">
      <c r="A137" s="179"/>
      <c r="B137" s="180"/>
      <c r="C137" s="180"/>
      <c r="D137" s="180"/>
      <c r="E137" s="180"/>
      <c r="F137" s="180"/>
      <c r="G137" s="396"/>
    </row>
    <row r="138" spans="1:18" ht="13" thickBot="1">
      <c r="A138" s="182" t="s">
        <v>170</v>
      </c>
      <c r="B138" s="183"/>
      <c r="C138" s="184" t="s">
        <v>167</v>
      </c>
      <c r="D138" s="185"/>
      <c r="E138" s="186"/>
      <c r="F138" s="187"/>
      <c r="G138" s="188"/>
      <c r="H138" s="77"/>
      <c r="I138" s="77"/>
      <c r="J138" s="77"/>
      <c r="K138" s="77"/>
      <c r="L138" s="77"/>
      <c r="M138" s="77"/>
      <c r="N138" s="78"/>
      <c r="O138" s="791"/>
      <c r="P138" s="798"/>
      <c r="Q138" s="798"/>
      <c r="R138" s="799"/>
    </row>
    <row r="139" spans="1:20" ht="12.75">
      <c r="A139" s="189"/>
      <c r="B139" s="231"/>
      <c r="C139" s="232"/>
      <c r="D139" s="233"/>
      <c r="E139" s="234"/>
      <c r="F139" s="235"/>
      <c r="G139" s="236"/>
      <c r="H139" s="77"/>
      <c r="I139" s="77"/>
      <c r="J139" s="77"/>
      <c r="K139" s="77"/>
      <c r="L139" s="77"/>
      <c r="M139" s="77"/>
      <c r="N139" s="78"/>
      <c r="O139" s="79"/>
      <c r="P139" s="79"/>
      <c r="Q139" s="79"/>
      <c r="R139" s="79"/>
      <c r="S139" s="79"/>
      <c r="T139" s="79"/>
    </row>
    <row r="140" spans="1:20" s="271" customFormat="1" ht="19.5" customHeight="1">
      <c r="A140" s="268" t="s">
        <v>171</v>
      </c>
      <c r="B140" s="674" t="s">
        <v>169</v>
      </c>
      <c r="C140" s="691" t="s">
        <v>1114</v>
      </c>
      <c r="D140" s="674" t="s">
        <v>73</v>
      </c>
      <c r="E140" s="669">
        <f>I140</f>
        <v>20.4786930715875</v>
      </c>
      <c r="F140" s="669"/>
      <c r="G140" s="200">
        <f>E140*F140</f>
        <v>0</v>
      </c>
      <c r="H140" s="85"/>
      <c r="I140" s="722">
        <f>SUM(I65:I139)</f>
        <v>20.4786930715875</v>
      </c>
      <c r="J140" s="85"/>
      <c r="K140" s="85"/>
      <c r="L140" s="85"/>
      <c r="M140" s="85"/>
      <c r="N140" s="202"/>
      <c r="O140" s="203"/>
      <c r="P140" s="203"/>
      <c r="Q140" s="203"/>
      <c r="R140" s="203"/>
      <c r="S140" s="203"/>
      <c r="T140" s="203"/>
    </row>
    <row r="141" spans="1:20" ht="14" thickBot="1">
      <c r="A141" s="218"/>
      <c r="B141" s="219"/>
      <c r="C141" s="220"/>
      <c r="D141" s="221"/>
      <c r="E141" s="222"/>
      <c r="F141" s="223"/>
      <c r="G141" s="224"/>
      <c r="H141" s="77"/>
      <c r="I141" s="77"/>
      <c r="J141" s="77"/>
      <c r="K141" s="77"/>
      <c r="L141" s="77"/>
      <c r="M141" s="77"/>
      <c r="N141" s="78"/>
      <c r="O141" s="580"/>
      <c r="P141" s="580"/>
      <c r="Q141" s="580"/>
      <c r="R141" s="580"/>
      <c r="S141" s="580"/>
      <c r="T141" s="580"/>
    </row>
    <row r="142" spans="1:20" ht="13" thickBot="1">
      <c r="A142" s="225"/>
      <c r="B142" s="226"/>
      <c r="C142" s="227" t="s">
        <v>113</v>
      </c>
      <c r="D142" s="226"/>
      <c r="E142" s="228"/>
      <c r="F142" s="229"/>
      <c r="G142" s="230">
        <f>SUBTOTAL(9,G139:G141)</f>
        <v>0</v>
      </c>
      <c r="H142" s="77"/>
      <c r="I142" s="77"/>
      <c r="J142" s="77"/>
      <c r="K142" s="77"/>
      <c r="L142" s="77"/>
      <c r="M142" s="77"/>
      <c r="N142" s="78"/>
      <c r="O142" s="79"/>
      <c r="P142" s="79"/>
      <c r="Q142" s="79"/>
      <c r="R142" s="79"/>
      <c r="S142" s="79"/>
      <c r="T142" s="79"/>
    </row>
    <row r="143" spans="1:20" ht="13" thickBot="1">
      <c r="A143" s="179"/>
      <c r="B143" s="180"/>
      <c r="C143" s="180"/>
      <c r="D143" s="180"/>
      <c r="E143" s="180"/>
      <c r="F143" s="180"/>
      <c r="G143" s="181"/>
      <c r="H143" s="77"/>
      <c r="I143" s="77"/>
      <c r="J143" s="77"/>
      <c r="K143" s="77"/>
      <c r="L143" s="77"/>
      <c r="M143" s="77"/>
      <c r="N143" s="78"/>
      <c r="O143" s="79"/>
      <c r="P143" s="79"/>
      <c r="Q143" s="79"/>
      <c r="R143" s="79"/>
      <c r="S143" s="79"/>
      <c r="T143" s="79"/>
    </row>
    <row r="144" spans="1:20" ht="18" customHeight="1" thickBot="1">
      <c r="A144" s="182" t="s">
        <v>183</v>
      </c>
      <c r="B144" s="183" t="s">
        <v>1065</v>
      </c>
      <c r="C144" s="184" t="s">
        <v>1066</v>
      </c>
      <c r="D144" s="185"/>
      <c r="E144" s="186"/>
      <c r="F144" s="187"/>
      <c r="G144" s="188"/>
      <c r="H144" s="77"/>
      <c r="I144" s="77"/>
      <c r="J144" s="77"/>
      <c r="K144" s="77"/>
      <c r="L144" s="77"/>
      <c r="M144" s="77"/>
      <c r="N144" s="78"/>
      <c r="O144" s="79"/>
      <c r="P144" s="79"/>
      <c r="Q144" s="79"/>
      <c r="R144" s="79"/>
      <c r="S144" s="79"/>
      <c r="T144" s="79"/>
    </row>
    <row r="145" spans="1:20" ht="12.75">
      <c r="A145" s="189"/>
      <c r="B145" s="231"/>
      <c r="C145" s="232"/>
      <c r="D145" s="233"/>
      <c r="E145" s="234"/>
      <c r="F145" s="235"/>
      <c r="G145" s="236"/>
      <c r="H145" s="77"/>
      <c r="I145" s="77"/>
      <c r="J145" s="77"/>
      <c r="K145" s="77"/>
      <c r="L145" s="77"/>
      <c r="M145" s="77"/>
      <c r="N145" s="78"/>
      <c r="O145" s="79"/>
      <c r="P145" s="79"/>
      <c r="Q145" s="79"/>
      <c r="R145" s="79"/>
      <c r="S145" s="79"/>
      <c r="T145" s="79"/>
    </row>
    <row r="146" spans="1:20" s="204" customFormat="1" ht="24.75" customHeight="1">
      <c r="A146" s="196" t="s">
        <v>185</v>
      </c>
      <c r="B146" s="197">
        <v>783933151</v>
      </c>
      <c r="C146" s="136" t="s">
        <v>2051</v>
      </c>
      <c r="D146" s="198" t="s">
        <v>46</v>
      </c>
      <c r="E146" s="199">
        <f>SUM(D147)</f>
        <v>81.4</v>
      </c>
      <c r="F146" s="199"/>
      <c r="G146" s="200">
        <f>E146*F146</f>
        <v>0</v>
      </c>
      <c r="H146" s="201">
        <v>0.00029</v>
      </c>
      <c r="I146" s="201">
        <f>E146*H146</f>
        <v>0.023606000000000002</v>
      </c>
      <c r="J146" s="85">
        <v>0</v>
      </c>
      <c r="K146" s="85">
        <f>E146*J146</f>
        <v>0</v>
      </c>
      <c r="L146" s="85"/>
      <c r="M146" s="85"/>
      <c r="N146" s="202"/>
      <c r="O146" s="203"/>
      <c r="P146" s="203"/>
      <c r="Q146" s="203"/>
      <c r="R146" s="203"/>
      <c r="S146" s="203"/>
      <c r="T146" s="203"/>
    </row>
    <row r="147" spans="1:20" s="214" customFormat="1" ht="15" customHeight="1">
      <c r="A147" s="196"/>
      <c r="B147" s="205"/>
      <c r="C147" s="784" t="s">
        <v>2040</v>
      </c>
      <c r="D147" s="207">
        <f>39.2+38.3+3.9</f>
        <v>81.4</v>
      </c>
      <c r="E147" s="208"/>
      <c r="F147" s="208"/>
      <c r="G147" s="209"/>
      <c r="H147" s="210"/>
      <c r="I147" s="210"/>
      <c r="J147" s="211"/>
      <c r="K147" s="673"/>
      <c r="L147" s="705"/>
      <c r="M147" s="211"/>
      <c r="N147" s="212"/>
      <c r="O147" s="794"/>
      <c r="P147" s="806"/>
      <c r="Q147" s="806"/>
      <c r="R147" s="807"/>
      <c r="S147" s="213"/>
      <c r="T147" s="213"/>
    </row>
    <row r="148" spans="1:20" s="204" customFormat="1" ht="35.25" customHeight="1">
      <c r="A148" s="196" t="s">
        <v>187</v>
      </c>
      <c r="B148" s="197">
        <v>783937161</v>
      </c>
      <c r="C148" s="136" t="s">
        <v>2052</v>
      </c>
      <c r="D148" s="198" t="s">
        <v>46</v>
      </c>
      <c r="E148" s="199">
        <f>E146</f>
        <v>81.4</v>
      </c>
      <c r="F148" s="199"/>
      <c r="G148" s="200">
        <f>E148*F148</f>
        <v>0</v>
      </c>
      <c r="H148" s="201">
        <v>0.0005</v>
      </c>
      <c r="I148" s="201">
        <f>E148*H148</f>
        <v>0.04070000000000001</v>
      </c>
      <c r="J148" s="85">
        <v>0</v>
      </c>
      <c r="K148" s="85">
        <f>E148*J148</f>
        <v>0</v>
      </c>
      <c r="L148" s="85"/>
      <c r="M148" s="85"/>
      <c r="N148" s="202"/>
      <c r="O148" s="203"/>
      <c r="P148" s="203"/>
      <c r="Q148" s="203"/>
      <c r="R148" s="203"/>
      <c r="S148" s="203"/>
      <c r="T148" s="203"/>
    </row>
    <row r="149" spans="1:7" ht="14" thickBot="1">
      <c r="A149" s="218"/>
      <c r="B149" s="412"/>
      <c r="C149" s="220"/>
      <c r="D149" s="221"/>
      <c r="E149" s="413"/>
      <c r="F149" s="414"/>
      <c r="G149" s="415"/>
    </row>
    <row r="150" spans="1:7" ht="17.25" customHeight="1">
      <c r="A150" s="225"/>
      <c r="B150" s="226"/>
      <c r="C150" s="227" t="s">
        <v>113</v>
      </c>
      <c r="D150" s="226"/>
      <c r="E150" s="416"/>
      <c r="F150" s="417"/>
      <c r="G150" s="230">
        <f>SUBTOTAL(9,G145:G149)</f>
        <v>0</v>
      </c>
    </row>
    <row r="151" spans="1:7" ht="12.75">
      <c r="A151" s="179"/>
      <c r="B151" s="180"/>
      <c r="C151" s="180"/>
      <c r="D151" s="180"/>
      <c r="E151" s="180"/>
      <c r="F151" s="180"/>
      <c r="G151" s="396"/>
    </row>
    <row r="152" spans="1:20" ht="12.75">
      <c r="A152" s="182" t="s">
        <v>139</v>
      </c>
      <c r="B152" s="183"/>
      <c r="C152" s="184" t="s">
        <v>342</v>
      </c>
      <c r="D152" s="185"/>
      <c r="E152" s="292"/>
      <c r="F152" s="293"/>
      <c r="G152" s="188"/>
      <c r="H152" s="77"/>
      <c r="I152" s="77"/>
      <c r="J152" s="77"/>
      <c r="K152" s="77"/>
      <c r="L152" s="77"/>
      <c r="M152" s="77"/>
      <c r="N152" s="78"/>
      <c r="O152" s="79"/>
      <c r="P152" s="79"/>
      <c r="Q152" s="79"/>
      <c r="R152" s="79"/>
      <c r="S152" s="79"/>
      <c r="T152" s="79"/>
    </row>
    <row r="153" spans="1:7" ht="12.75">
      <c r="A153" s="189"/>
      <c r="B153" s="400"/>
      <c r="C153" s="232"/>
      <c r="D153" s="233"/>
      <c r="E153" s="401"/>
      <c r="F153" s="402"/>
      <c r="G153" s="403"/>
    </row>
    <row r="154" spans="1:20" s="204" customFormat="1" ht="29.25" customHeight="1">
      <c r="A154" s="196" t="s">
        <v>192</v>
      </c>
      <c r="B154" s="197" t="s">
        <v>212</v>
      </c>
      <c r="C154" s="136" t="s">
        <v>213</v>
      </c>
      <c r="D154" s="198" t="s">
        <v>46</v>
      </c>
      <c r="E154" s="199">
        <f>SUM(D155)</f>
        <v>81.4</v>
      </c>
      <c r="F154" s="199"/>
      <c r="G154" s="200">
        <f>E154*F154</f>
        <v>0</v>
      </c>
      <c r="H154" s="201">
        <v>0</v>
      </c>
      <c r="I154" s="201">
        <f>E154*H154</f>
        <v>0</v>
      </c>
      <c r="J154" s="85">
        <v>0</v>
      </c>
      <c r="K154" s="85">
        <f>E154*J154</f>
        <v>0</v>
      </c>
      <c r="L154" s="85"/>
      <c r="M154" s="85"/>
      <c r="N154" s="202"/>
      <c r="O154" s="203"/>
      <c r="P154" s="203"/>
      <c r="Q154" s="203"/>
      <c r="R154" s="203"/>
      <c r="S154" s="203"/>
      <c r="T154" s="203"/>
    </row>
    <row r="155" spans="1:20" s="214" customFormat="1" ht="15" customHeight="1">
      <c r="A155" s="196"/>
      <c r="B155" s="205"/>
      <c r="C155" s="784" t="s">
        <v>2040</v>
      </c>
      <c r="D155" s="207">
        <f>39.2+38.3+3.9</f>
        <v>81.4</v>
      </c>
      <c r="E155" s="208"/>
      <c r="F155" s="208"/>
      <c r="G155" s="209"/>
      <c r="H155" s="210"/>
      <c r="I155" s="210"/>
      <c r="J155" s="211"/>
      <c r="K155" s="673"/>
      <c r="L155" s="705"/>
      <c r="M155" s="211"/>
      <c r="N155" s="212"/>
      <c r="O155" s="794"/>
      <c r="P155" s="806"/>
      <c r="Q155" s="806"/>
      <c r="R155" s="807"/>
      <c r="S155" s="213"/>
      <c r="T155" s="213"/>
    </row>
    <row r="156" spans="1:20" s="204" customFormat="1" ht="29.25" customHeight="1">
      <c r="A156" s="196" t="s">
        <v>193</v>
      </c>
      <c r="B156" s="197" t="s">
        <v>215</v>
      </c>
      <c r="C156" s="136" t="s">
        <v>216</v>
      </c>
      <c r="D156" s="198" t="s">
        <v>46</v>
      </c>
      <c r="E156" s="199">
        <v>2.5</v>
      </c>
      <c r="F156" s="199"/>
      <c r="G156" s="200">
        <f>E156*F156</f>
        <v>0</v>
      </c>
      <c r="H156" s="201">
        <v>0</v>
      </c>
      <c r="I156" s="201">
        <f>E156*H156</f>
        <v>0</v>
      </c>
      <c r="J156" s="85">
        <v>0</v>
      </c>
      <c r="K156" s="85">
        <f>E156*J156</f>
        <v>0</v>
      </c>
      <c r="L156" s="85"/>
      <c r="M156" s="85"/>
      <c r="N156" s="202"/>
      <c r="O156" s="203"/>
      <c r="P156" s="203"/>
      <c r="Q156" s="203"/>
      <c r="R156" s="203"/>
      <c r="S156" s="203"/>
      <c r="T156" s="203"/>
    </row>
    <row r="157" spans="1:20" s="204" customFormat="1" ht="23.25" customHeight="1">
      <c r="A157" s="196" t="s">
        <v>194</v>
      </c>
      <c r="B157" s="197" t="s">
        <v>218</v>
      </c>
      <c r="C157" s="136" t="s">
        <v>219</v>
      </c>
      <c r="D157" s="198" t="s">
        <v>46</v>
      </c>
      <c r="E157" s="199">
        <f>1.05*(E154+E156)</f>
        <v>88.09500000000001</v>
      </c>
      <c r="F157" s="199"/>
      <c r="G157" s="200">
        <f>E157*F157</f>
        <v>0</v>
      </c>
      <c r="H157" s="201">
        <v>0</v>
      </c>
      <c r="I157" s="201">
        <f>E157*H157</f>
        <v>0</v>
      </c>
      <c r="J157" s="85"/>
      <c r="K157" s="85">
        <f>E157*J157</f>
        <v>0</v>
      </c>
      <c r="L157" s="85"/>
      <c r="M157" s="85"/>
      <c r="N157" s="202"/>
      <c r="O157" s="203"/>
      <c r="P157" s="203"/>
      <c r="Q157" s="203"/>
      <c r="R157" s="203"/>
      <c r="S157" s="203"/>
      <c r="T157" s="203"/>
    </row>
    <row r="158" spans="1:20" s="204" customFormat="1" ht="25.5" customHeight="1">
      <c r="A158" s="196" t="s">
        <v>195</v>
      </c>
      <c r="B158" s="197" t="s">
        <v>224</v>
      </c>
      <c r="C158" s="136" t="s">
        <v>225</v>
      </c>
      <c r="D158" s="198" t="s">
        <v>46</v>
      </c>
      <c r="E158" s="199">
        <f>SUM(D159)</f>
        <v>136</v>
      </c>
      <c r="F158" s="199"/>
      <c r="G158" s="200">
        <f>E158*F158</f>
        <v>0</v>
      </c>
      <c r="H158" s="201">
        <v>0.00021</v>
      </c>
      <c r="I158" s="201">
        <f>E158*H158</f>
        <v>0.028560000000000002</v>
      </c>
      <c r="J158" s="85">
        <v>0</v>
      </c>
      <c r="K158" s="85">
        <f>E158*J158</f>
        <v>0</v>
      </c>
      <c r="L158" s="85"/>
      <c r="M158" s="85"/>
      <c r="N158" s="202"/>
      <c r="O158" s="203"/>
      <c r="P158" s="203"/>
      <c r="Q158" s="203"/>
      <c r="R158" s="203"/>
      <c r="S158" s="203"/>
      <c r="T158" s="203"/>
    </row>
    <row r="159" spans="1:20" s="596" customFormat="1" ht="19.5" customHeight="1">
      <c r="A159" s="683"/>
      <c r="B159" s="681"/>
      <c r="C159" s="678" t="s">
        <v>2053</v>
      </c>
      <c r="D159" s="685">
        <f>81.4+54.6</f>
        <v>136</v>
      </c>
      <c r="E159" s="679"/>
      <c r="F159" s="679"/>
      <c r="G159" s="680"/>
      <c r="H159" s="592"/>
      <c r="I159" s="592"/>
      <c r="J159" s="593"/>
      <c r="K159" s="593"/>
      <c r="L159" s="593"/>
      <c r="M159" s="593"/>
      <c r="N159" s="594"/>
      <c r="O159" s="595"/>
      <c r="P159" s="595"/>
      <c r="Q159" s="595"/>
      <c r="R159" s="595"/>
      <c r="S159" s="595"/>
      <c r="T159" s="595"/>
    </row>
    <row r="160" spans="1:20" s="204" customFormat="1" ht="28.5" customHeight="1">
      <c r="A160" s="196" t="s">
        <v>289</v>
      </c>
      <c r="B160" s="197" t="s">
        <v>227</v>
      </c>
      <c r="C160" s="136" t="s">
        <v>1727</v>
      </c>
      <c r="D160" s="198" t="s">
        <v>46</v>
      </c>
      <c r="E160" s="199">
        <f>E158</f>
        <v>136</v>
      </c>
      <c r="F160" s="199"/>
      <c r="G160" s="200">
        <f>E160*F160</f>
        <v>0</v>
      </c>
      <c r="H160" s="201">
        <v>0.00028</v>
      </c>
      <c r="I160" s="201">
        <f>E160*H160</f>
        <v>0.038079999999999996</v>
      </c>
      <c r="J160" s="85">
        <v>0</v>
      </c>
      <c r="K160" s="85">
        <f>E160*J160</f>
        <v>0</v>
      </c>
      <c r="L160" s="85"/>
      <c r="M160" s="85"/>
      <c r="N160" s="202"/>
      <c r="O160" s="203"/>
      <c r="P160" s="203"/>
      <c r="Q160" s="203"/>
      <c r="R160" s="203"/>
      <c r="S160" s="203"/>
      <c r="T160" s="203"/>
    </row>
    <row r="161" spans="1:12" s="204" customFormat="1" ht="14" thickBot="1">
      <c r="A161" s="286"/>
      <c r="B161" s="412"/>
      <c r="C161" s="220"/>
      <c r="D161" s="221"/>
      <c r="E161" s="414"/>
      <c r="F161" s="414"/>
      <c r="G161" s="418"/>
      <c r="H161" s="481"/>
      <c r="I161" s="481"/>
      <c r="J161" s="481"/>
      <c r="K161" s="481"/>
      <c r="L161" s="481"/>
    </row>
    <row r="162" spans="1:7" ht="18" customHeight="1">
      <c r="A162" s="225"/>
      <c r="B162" s="226"/>
      <c r="C162" s="227" t="s">
        <v>113</v>
      </c>
      <c r="D162" s="226"/>
      <c r="E162" s="416"/>
      <c r="F162" s="417"/>
      <c r="G162" s="230">
        <f>SUBTOTAL(9,G153:G161)</f>
        <v>0</v>
      </c>
    </row>
    <row r="163" spans="1:7" ht="12.75">
      <c r="A163" s="179"/>
      <c r="B163" s="180"/>
      <c r="C163" s="180"/>
      <c r="D163" s="180"/>
      <c r="E163" s="180"/>
      <c r="F163" s="180"/>
      <c r="G163" s="396"/>
    </row>
    <row r="164" spans="1:7" ht="12.75">
      <c r="A164" s="182" t="s">
        <v>197</v>
      </c>
      <c r="B164" s="183"/>
      <c r="C164" s="184" t="s">
        <v>344</v>
      </c>
      <c r="D164" s="397"/>
      <c r="E164" s="440"/>
      <c r="F164" s="441"/>
      <c r="G164" s="399"/>
    </row>
    <row r="165" spans="1:7" ht="12.75">
      <c r="A165" s="189"/>
      <c r="B165" s="400"/>
      <c r="C165" s="232"/>
      <c r="D165" s="233"/>
      <c r="E165" s="401"/>
      <c r="F165" s="402"/>
      <c r="G165" s="403"/>
    </row>
    <row r="166" spans="1:20" s="267" customFormat="1" ht="12.75">
      <c r="A166" s="262"/>
      <c r="B166" s="253"/>
      <c r="C166" s="254" t="s">
        <v>1736</v>
      </c>
      <c r="D166" s="253"/>
      <c r="E166" s="256"/>
      <c r="F166" s="256"/>
      <c r="G166" s="460"/>
      <c r="H166" s="264"/>
      <c r="I166" s="264"/>
      <c r="J166" s="264"/>
      <c r="K166" s="264"/>
      <c r="L166" s="264"/>
      <c r="M166" s="264"/>
      <c r="N166" s="265"/>
      <c r="O166" s="794"/>
      <c r="P166" s="806"/>
      <c r="Q166" s="806"/>
      <c r="R166" s="808"/>
      <c r="S166" s="203"/>
      <c r="T166" s="203"/>
    </row>
    <row r="167" spans="1:20" s="204" customFormat="1" ht="32.25" customHeight="1">
      <c r="A167" s="196" t="s">
        <v>198</v>
      </c>
      <c r="B167" s="305" t="s">
        <v>345</v>
      </c>
      <c r="C167" s="306" t="s">
        <v>1355</v>
      </c>
      <c r="D167" s="198" t="s">
        <v>46</v>
      </c>
      <c r="E167" s="199">
        <f>SUM(D168)</f>
        <v>2.7</v>
      </c>
      <c r="F167" s="199"/>
      <c r="G167" s="200">
        <f>E167*F167</f>
        <v>0</v>
      </c>
      <c r="H167" s="85">
        <v>0</v>
      </c>
      <c r="I167" s="85">
        <f>E167*H167</f>
        <v>0</v>
      </c>
      <c r="J167" s="201">
        <v>0.011820000000000002</v>
      </c>
      <c r="K167" s="201">
        <f>E167*J167</f>
        <v>0.03191400000000001</v>
      </c>
      <c r="L167" s="85"/>
      <c r="M167" s="85"/>
      <c r="N167" s="202"/>
      <c r="O167" s="794"/>
      <c r="P167" s="806"/>
      <c r="Q167" s="806"/>
      <c r="R167" s="833"/>
      <c r="S167" s="266"/>
      <c r="T167" s="266"/>
    </row>
    <row r="168" spans="1:20" s="251" customFormat="1" ht="17.25" customHeight="1">
      <c r="A168" s="196"/>
      <c r="B168" s="205"/>
      <c r="C168" s="245" t="s">
        <v>2054</v>
      </c>
      <c r="D168" s="246">
        <f>1.6+0.9*6*0.2+0.02</f>
        <v>2.7</v>
      </c>
      <c r="E168" s="247"/>
      <c r="F168" s="247"/>
      <c r="G168" s="248"/>
      <c r="H168" s="250"/>
      <c r="I168" s="250"/>
      <c r="J168" s="249"/>
      <c r="K168" s="250"/>
      <c r="L168" s="250"/>
      <c r="O168" s="794"/>
      <c r="P168" s="806"/>
      <c r="Q168" s="806"/>
      <c r="R168" s="808"/>
      <c r="S168" s="203"/>
      <c r="T168" s="203"/>
    </row>
    <row r="169" spans="1:20" s="204" customFormat="1" ht="21.75" customHeight="1">
      <c r="A169" s="196" t="s">
        <v>199</v>
      </c>
      <c r="B169" s="305" t="s">
        <v>1351</v>
      </c>
      <c r="C169" s="306" t="s">
        <v>1353</v>
      </c>
      <c r="D169" s="305" t="s">
        <v>46</v>
      </c>
      <c r="E169" s="199">
        <f>E167</f>
        <v>2.7</v>
      </c>
      <c r="F169" s="199"/>
      <c r="G169" s="200">
        <f aca="true" t="shared" si="1" ref="G169:G176">E169*F169</f>
        <v>0</v>
      </c>
      <c r="H169" s="85">
        <v>0.01725</v>
      </c>
      <c r="I169" s="85">
        <f>E169*H169</f>
        <v>0.046575000000000005</v>
      </c>
      <c r="J169" s="85">
        <v>0</v>
      </c>
      <c r="K169" s="201">
        <f>E169*J169</f>
        <v>0</v>
      </c>
      <c r="L169" s="85"/>
      <c r="M169" s="85"/>
      <c r="N169" s="202"/>
      <c r="O169" s="796"/>
      <c r="P169" s="811"/>
      <c r="Q169" s="811"/>
      <c r="R169" s="812"/>
      <c r="S169" s="251"/>
      <c r="T169" s="251"/>
    </row>
    <row r="170" spans="1:20" s="204" customFormat="1" ht="21.75" customHeight="1">
      <c r="A170" s="196" t="s">
        <v>201</v>
      </c>
      <c r="B170" s="197" t="s">
        <v>1352</v>
      </c>
      <c r="C170" s="136" t="s">
        <v>1734</v>
      </c>
      <c r="D170" s="198" t="s">
        <v>46</v>
      </c>
      <c r="E170" s="199">
        <f>E167</f>
        <v>2.7</v>
      </c>
      <c r="F170" s="199"/>
      <c r="G170" s="200">
        <f t="shared" si="1"/>
        <v>0</v>
      </c>
      <c r="H170" s="85">
        <v>0</v>
      </c>
      <c r="I170" s="85">
        <f>E170*H170</f>
        <v>0</v>
      </c>
      <c r="J170" s="201">
        <v>1E-05</v>
      </c>
      <c r="K170" s="201">
        <f>E170*J170</f>
        <v>2.7000000000000002E-05</v>
      </c>
      <c r="L170" s="85"/>
      <c r="M170" s="85"/>
      <c r="N170" s="202"/>
      <c r="O170" s="794"/>
      <c r="P170" s="806"/>
      <c r="Q170" s="806"/>
      <c r="R170" s="808"/>
      <c r="S170" s="203"/>
      <c r="T170" s="203"/>
    </row>
    <row r="171" spans="1:18" s="244" customFormat="1" ht="22">
      <c r="A171" s="196" t="s">
        <v>202</v>
      </c>
      <c r="B171" s="305">
        <v>763121411</v>
      </c>
      <c r="C171" s="306" t="s">
        <v>231</v>
      </c>
      <c r="D171" s="295" t="s">
        <v>46</v>
      </c>
      <c r="E171" s="404">
        <v>2</v>
      </c>
      <c r="F171" s="404"/>
      <c r="G171" s="200">
        <f t="shared" si="1"/>
        <v>0</v>
      </c>
      <c r="H171" s="242">
        <v>0.011820000000000002</v>
      </c>
      <c r="I171" s="242">
        <f>E171*H171</f>
        <v>0.023640000000000005</v>
      </c>
      <c r="J171" s="243">
        <v>0</v>
      </c>
      <c r="K171" s="243">
        <f>E171*J171</f>
        <v>0</v>
      </c>
      <c r="L171" s="243"/>
      <c r="M171" s="243"/>
      <c r="N171" s="405"/>
      <c r="O171" s="796"/>
      <c r="P171" s="811"/>
      <c r="Q171" s="811"/>
      <c r="R171" s="818"/>
    </row>
    <row r="172" spans="1:20" s="244" customFormat="1" ht="22.5" customHeight="1">
      <c r="A172" s="196" t="s">
        <v>203</v>
      </c>
      <c r="B172" s="305">
        <v>763121811</v>
      </c>
      <c r="C172" s="306" t="s">
        <v>233</v>
      </c>
      <c r="D172" s="305" t="s">
        <v>46</v>
      </c>
      <c r="E172" s="404">
        <v>2</v>
      </c>
      <c r="F172" s="404"/>
      <c r="G172" s="200">
        <f t="shared" si="1"/>
        <v>0</v>
      </c>
      <c r="H172" s="243">
        <v>0</v>
      </c>
      <c r="I172" s="242">
        <f>E172*H172</f>
        <v>0</v>
      </c>
      <c r="J172" s="243">
        <v>0.01725</v>
      </c>
      <c r="K172" s="243">
        <f>E172*J172</f>
        <v>0.0345</v>
      </c>
      <c r="L172" s="243"/>
      <c r="M172" s="243"/>
      <c r="N172" s="405"/>
      <c r="O172" s="796"/>
      <c r="P172" s="811"/>
      <c r="Q172" s="811"/>
      <c r="R172" s="847"/>
      <c r="S172" s="406"/>
      <c r="T172" s="406"/>
    </row>
    <row r="173" spans="1:20" s="204" customFormat="1" ht="18.75" customHeight="1">
      <c r="A173" s="196" t="s">
        <v>204</v>
      </c>
      <c r="B173" s="305" t="s">
        <v>1356</v>
      </c>
      <c r="C173" s="306" t="s">
        <v>242</v>
      </c>
      <c r="D173" s="305" t="s">
        <v>243</v>
      </c>
      <c r="E173" s="199">
        <v>42</v>
      </c>
      <c r="F173" s="199"/>
      <c r="G173" s="200">
        <f t="shared" si="1"/>
        <v>0</v>
      </c>
      <c r="H173" s="85"/>
      <c r="I173" s="85"/>
      <c r="J173" s="85"/>
      <c r="K173" s="201"/>
      <c r="L173" s="85"/>
      <c r="M173" s="85"/>
      <c r="N173" s="202"/>
      <c r="O173" s="794"/>
      <c r="P173" s="806"/>
      <c r="Q173" s="806"/>
      <c r="R173" s="808"/>
      <c r="S173" s="203"/>
      <c r="T173" s="203"/>
    </row>
    <row r="174" spans="1:20" s="204" customFormat="1" ht="32.25" customHeight="1">
      <c r="A174" s="196" t="s">
        <v>205</v>
      </c>
      <c r="B174" s="778">
        <v>949101111</v>
      </c>
      <c r="C174" s="823" t="s">
        <v>245</v>
      </c>
      <c r="D174" s="778" t="s">
        <v>46</v>
      </c>
      <c r="E174" s="739">
        <v>85</v>
      </c>
      <c r="F174" s="739"/>
      <c r="G174" s="781">
        <f t="shared" si="1"/>
        <v>0</v>
      </c>
      <c r="H174" s="85"/>
      <c r="I174" s="85"/>
      <c r="J174" s="85"/>
      <c r="K174" s="201"/>
      <c r="L174" s="85"/>
      <c r="M174" s="85"/>
      <c r="N174" s="202"/>
      <c r="O174" s="794"/>
      <c r="P174" s="806"/>
      <c r="Q174" s="806"/>
      <c r="R174" s="808"/>
      <c r="S174" s="203"/>
      <c r="T174" s="203"/>
    </row>
    <row r="175" spans="1:20" s="204" customFormat="1" ht="29.25" customHeight="1">
      <c r="A175" s="196" t="s">
        <v>208</v>
      </c>
      <c r="B175" s="197">
        <v>784191003</v>
      </c>
      <c r="C175" s="136" t="s">
        <v>1505</v>
      </c>
      <c r="D175" s="198" t="s">
        <v>46</v>
      </c>
      <c r="E175" s="199">
        <v>2.5</v>
      </c>
      <c r="F175" s="199"/>
      <c r="G175" s="200">
        <f t="shared" si="1"/>
        <v>0</v>
      </c>
      <c r="H175" s="201">
        <v>1E-05</v>
      </c>
      <c r="I175" s="201">
        <f>E175*H175</f>
        <v>2.5E-05</v>
      </c>
      <c r="J175" s="85">
        <v>0</v>
      </c>
      <c r="K175" s="85">
        <f>E175*J175</f>
        <v>0</v>
      </c>
      <c r="L175" s="85"/>
      <c r="M175" s="85"/>
      <c r="N175" s="202"/>
      <c r="O175" s="203"/>
      <c r="P175" s="203"/>
      <c r="Q175" s="203"/>
      <c r="R175" s="203"/>
      <c r="S175" s="203"/>
      <c r="T175" s="203"/>
    </row>
    <row r="176" spans="1:20" s="204" customFormat="1" ht="29.25" customHeight="1">
      <c r="A176" s="196" t="s">
        <v>209</v>
      </c>
      <c r="B176" s="197" t="s">
        <v>238</v>
      </c>
      <c r="C176" s="136" t="s">
        <v>239</v>
      </c>
      <c r="D176" s="198" t="s">
        <v>46</v>
      </c>
      <c r="E176" s="199">
        <v>81.4</v>
      </c>
      <c r="F176" s="199"/>
      <c r="G176" s="200">
        <f t="shared" si="1"/>
        <v>0</v>
      </c>
      <c r="H176" s="85">
        <v>0</v>
      </c>
      <c r="I176" s="85">
        <f>E176*H176</f>
        <v>0</v>
      </c>
      <c r="J176" s="201">
        <v>1E-05</v>
      </c>
      <c r="K176" s="201">
        <f>E176*J176</f>
        <v>0.0008140000000000002</v>
      </c>
      <c r="L176" s="85"/>
      <c r="M176" s="85"/>
      <c r="N176" s="202"/>
      <c r="O176" s="794"/>
      <c r="P176" s="806"/>
      <c r="Q176" s="806"/>
      <c r="R176" s="833"/>
      <c r="S176" s="266"/>
      <c r="T176" s="266"/>
    </row>
    <row r="177" spans="1:12" s="204" customFormat="1" ht="12.75">
      <c r="A177" s="750"/>
      <c r="B177" s="851"/>
      <c r="C177" s="823"/>
      <c r="D177" s="778"/>
      <c r="E177" s="821"/>
      <c r="F177" s="821"/>
      <c r="G177" s="780"/>
      <c r="H177" s="481"/>
      <c r="I177" s="481"/>
      <c r="J177" s="481"/>
      <c r="K177" s="481"/>
      <c r="L177" s="481"/>
    </row>
    <row r="178" spans="1:12" s="314" customFormat="1" ht="44.25" customHeight="1">
      <c r="A178" s="196" t="s">
        <v>210</v>
      </c>
      <c r="B178" s="307"/>
      <c r="C178" s="308" t="s">
        <v>247</v>
      </c>
      <c r="D178" s="309"/>
      <c r="E178" s="310"/>
      <c r="F178" s="310"/>
      <c r="G178" s="311">
        <f>$E178*F178</f>
        <v>0</v>
      </c>
      <c r="H178" s="312"/>
      <c r="I178" s="312"/>
      <c r="J178" s="313"/>
      <c r="K178" s="313"/>
      <c r="L178" s="312"/>
    </row>
    <row r="179" spans="1:7" ht="13" thickBot="1">
      <c r="A179" s="298"/>
      <c r="B179" s="153"/>
      <c r="C179" s="299"/>
      <c r="D179" s="153"/>
      <c r="E179" s="450"/>
      <c r="F179" s="451"/>
      <c r="G179" s="452"/>
    </row>
    <row r="180" spans="1:7" ht="18" customHeight="1">
      <c r="A180" s="225"/>
      <c r="B180" s="226"/>
      <c r="C180" s="227" t="s">
        <v>113</v>
      </c>
      <c r="D180" s="226"/>
      <c r="E180" s="303"/>
      <c r="F180" s="304"/>
      <c r="G180" s="230">
        <f>SUBTOTAL(9,G165:G179)</f>
        <v>0</v>
      </c>
    </row>
    <row r="181" spans="1:7" ht="13" thickBot="1">
      <c r="A181" s="179"/>
      <c r="B181" s="180"/>
      <c r="C181" s="180"/>
      <c r="D181" s="180"/>
      <c r="E181" s="180"/>
      <c r="F181" s="180"/>
      <c r="G181" s="396"/>
    </row>
    <row r="182" spans="1:7" ht="27.75" customHeight="1" thickBot="1">
      <c r="A182" s="453"/>
      <c r="B182" s="316"/>
      <c r="C182" s="317" t="s">
        <v>38</v>
      </c>
      <c r="D182" s="454"/>
      <c r="E182" s="454"/>
      <c r="F182" s="454"/>
      <c r="G182" s="319">
        <f>SUBTOTAL(9,G32:G181)</f>
        <v>0</v>
      </c>
    </row>
    <row r="184" spans="1:6" s="480" customFormat="1" ht="12.75">
      <c r="A184" s="72"/>
      <c r="B184" s="491"/>
      <c r="C184" s="491"/>
      <c r="D184" s="75"/>
      <c r="E184" s="76"/>
      <c r="F184" s="76"/>
    </row>
    <row r="185" spans="1:6" s="480" customFormat="1" ht="12.75">
      <c r="A185" s="72"/>
      <c r="B185" s="491"/>
      <c r="C185" s="491"/>
      <c r="D185" s="75"/>
      <c r="E185" s="76"/>
      <c r="F185" s="76"/>
    </row>
    <row r="186" spans="1:6" s="480" customFormat="1" ht="12.75">
      <c r="A186" s="72"/>
      <c r="B186" s="491"/>
      <c r="C186" s="491"/>
      <c r="D186" s="75"/>
      <c r="E186" s="76"/>
      <c r="F186" s="76"/>
    </row>
    <row r="187" spans="1:6" s="480" customFormat="1" ht="12.75">
      <c r="A187" s="72"/>
      <c r="B187" s="491"/>
      <c r="C187" s="491"/>
      <c r="D187" s="75"/>
      <c r="E187" s="76"/>
      <c r="F187" s="76"/>
    </row>
    <row r="188" spans="1:6" s="480" customFormat="1" ht="12.75">
      <c r="A188" s="72"/>
      <c r="B188" s="491"/>
      <c r="C188" s="491"/>
      <c r="D188" s="75"/>
      <c r="E188" s="76"/>
      <c r="F188" s="76"/>
    </row>
    <row r="189" spans="1:6" s="480" customFormat="1" ht="12.75">
      <c r="A189" s="72"/>
      <c r="B189" s="491"/>
      <c r="C189" s="491"/>
      <c r="D189" s="75"/>
      <c r="E189" s="76"/>
      <c r="F189" s="76"/>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385"/>
  <sheetViews>
    <sheetView showGridLines="0" view="pageBreakPreview" zoomScaleSheetLayoutView="100" zoomScalePageLayoutView="130" workbookViewId="0" topLeftCell="A1">
      <selection activeCell="G6" sqref="G6"/>
    </sheetView>
  </sheetViews>
  <sheetFormatPr defaultColWidth="8.8515625" defaultRowHeight="12.75"/>
  <cols>
    <col min="1" max="1" width="8.28125" style="322" customWidth="1"/>
    <col min="2" max="2" width="16.421875" style="323" customWidth="1"/>
    <col min="3" max="3" width="61.421875" style="324" customWidth="1"/>
    <col min="4" max="4" width="10.421875" style="323" customWidth="1"/>
    <col min="5" max="5" width="11.421875" style="325" customWidth="1"/>
    <col min="6" max="6" width="13.421875" style="326" customWidth="1"/>
    <col min="7" max="7" width="20.00390625" style="326" customWidth="1"/>
    <col min="8" max="8" width="11.421875" style="327" customWidth="1"/>
    <col min="9" max="9" width="10.8515625" style="327" customWidth="1"/>
    <col min="10" max="10" width="10.28125" style="327" customWidth="1"/>
    <col min="11" max="11" width="10.421875" style="327" customWidth="1"/>
    <col min="12" max="12" width="8.8515625" style="327" customWidth="1"/>
    <col min="13" max="16384" width="8.8515625" style="328" customWidth="1"/>
  </cols>
  <sheetData>
    <row r="1" spans="1:8" ht="60" customHeight="1">
      <c r="A1" s="329"/>
      <c r="B1" s="330" t="s">
        <v>16</v>
      </c>
      <c r="C1" s="2" t="s">
        <v>1</v>
      </c>
      <c r="D1" s="2"/>
      <c r="E1" s="84"/>
      <c r="F1" s="1415" t="s">
        <v>2</v>
      </c>
      <c r="G1" s="1415"/>
      <c r="H1" s="241"/>
    </row>
    <row r="2" spans="1:8" ht="54.5" customHeight="1">
      <c r="A2" s="331"/>
      <c r="B2" s="332" t="s">
        <v>3</v>
      </c>
      <c r="C2" s="6" t="s">
        <v>2172</v>
      </c>
      <c r="D2" s="6"/>
      <c r="E2" s="89"/>
      <c r="F2" s="1416"/>
      <c r="G2" s="1416"/>
      <c r="H2" s="241"/>
    </row>
    <row r="3" spans="1:7" ht="50" customHeight="1">
      <c r="A3" s="331"/>
      <c r="B3" s="332" t="s">
        <v>17</v>
      </c>
      <c r="C3" s="8" t="s">
        <v>1195</v>
      </c>
      <c r="D3" s="89"/>
      <c r="E3" s="89"/>
      <c r="F3" s="1417" t="s">
        <v>1647</v>
      </c>
      <c r="G3" s="1417"/>
    </row>
    <row r="4" spans="1:11" ht="60.75" customHeight="1" thickBot="1">
      <c r="A4" s="333"/>
      <c r="B4" s="334" t="s">
        <v>19</v>
      </c>
      <c r="C4" s="11" t="s">
        <v>1160</v>
      </c>
      <c r="D4" s="94"/>
      <c r="E4" s="94"/>
      <c r="F4" s="1418"/>
      <c r="G4" s="1418"/>
      <c r="K4" s="617"/>
    </row>
    <row r="5" spans="1:8" ht="15" customHeight="1" thickBot="1">
      <c r="A5" s="335"/>
      <c r="B5" s="336"/>
      <c r="C5" s="337"/>
      <c r="D5" s="338"/>
      <c r="E5" s="339"/>
      <c r="F5" s="340"/>
      <c r="G5" s="341"/>
      <c r="H5" s="342"/>
    </row>
    <row r="6" spans="1:12" s="351" customFormat="1" ht="11">
      <c r="A6" s="343" t="s">
        <v>20</v>
      </c>
      <c r="B6" s="344" t="s">
        <v>21</v>
      </c>
      <c r="C6" s="345" t="s">
        <v>22</v>
      </c>
      <c r="D6" s="344" t="s">
        <v>23</v>
      </c>
      <c r="E6" s="346" t="s">
        <v>24</v>
      </c>
      <c r="F6" s="347" t="s">
        <v>25</v>
      </c>
      <c r="G6" s="348" t="s">
        <v>26</v>
      </c>
      <c r="H6" s="349"/>
      <c r="I6" s="350"/>
      <c r="J6" s="350"/>
      <c r="K6" s="350"/>
      <c r="L6" s="350"/>
    </row>
    <row r="7" spans="1:12" s="351" customFormat="1" ht="5.25" customHeight="1" thickBot="1">
      <c r="A7" s="352"/>
      <c r="B7" s="353"/>
      <c r="C7" s="354"/>
      <c r="D7" s="353"/>
      <c r="E7" s="355"/>
      <c r="F7" s="356"/>
      <c r="G7" s="357"/>
      <c r="H7" s="349"/>
      <c r="I7" s="350"/>
      <c r="J7" s="350"/>
      <c r="K7" s="350"/>
      <c r="L7" s="350"/>
    </row>
    <row r="8" spans="1:12" s="366" customFormat="1" ht="12.75">
      <c r="A8" s="358"/>
      <c r="B8" s="359"/>
      <c r="C8" s="360"/>
      <c r="D8" s="360"/>
      <c r="E8" s="361"/>
      <c r="F8" s="362"/>
      <c r="G8" s="363"/>
      <c r="H8" s="364"/>
      <c r="I8" s="365"/>
      <c r="J8" s="365"/>
      <c r="K8" s="365"/>
      <c r="L8" s="365"/>
    </row>
    <row r="9" spans="1:12" s="375" customFormat="1" ht="12.75">
      <c r="A9" s="1052"/>
      <c r="B9" s="1053"/>
      <c r="C9" s="1054" t="s">
        <v>27</v>
      </c>
      <c r="D9" s="1053"/>
      <c r="E9" s="370"/>
      <c r="F9" s="1055"/>
      <c r="G9" s="372"/>
      <c r="H9" s="373"/>
      <c r="I9" s="374"/>
      <c r="J9" s="374"/>
      <c r="K9" s="374"/>
      <c r="L9" s="374"/>
    </row>
    <row r="10" spans="1:7" ht="56.25" customHeight="1" hidden="1">
      <c r="A10" s="1056"/>
      <c r="B10" s="1057"/>
      <c r="C10" s="992" t="s">
        <v>248</v>
      </c>
      <c r="D10" s="1057"/>
      <c r="E10" s="1058"/>
      <c r="F10" s="1059"/>
      <c r="G10" s="1060"/>
    </row>
    <row r="11" spans="1:7" ht="35.25" customHeight="1" hidden="1">
      <c r="A11" s="1056"/>
      <c r="B11" s="1057"/>
      <c r="C11" s="992" t="s">
        <v>249</v>
      </c>
      <c r="D11" s="1057"/>
      <c r="E11" s="1058"/>
      <c r="F11" s="1059"/>
      <c r="G11" s="1060"/>
    </row>
    <row r="12" spans="1:7" ht="30.75" customHeight="1" hidden="1">
      <c r="A12" s="1056"/>
      <c r="B12" s="1057"/>
      <c r="C12" s="992" t="s">
        <v>250</v>
      </c>
      <c r="D12" s="1057"/>
      <c r="E12" s="1058"/>
      <c r="F12" s="1059"/>
      <c r="G12" s="1060"/>
    </row>
    <row r="13" spans="1:7" ht="66" customHeight="1" hidden="1">
      <c r="A13" s="1061"/>
      <c r="B13" s="1062"/>
      <c r="C13" s="1063" t="s">
        <v>251</v>
      </c>
      <c r="D13" s="1062"/>
      <c r="E13" s="1064"/>
      <c r="F13" s="1065"/>
      <c r="G13" s="1066"/>
    </row>
    <row r="14" spans="1:7" ht="63" customHeight="1" hidden="1">
      <c r="A14" s="387"/>
      <c r="B14" s="388"/>
      <c r="C14" s="389" t="s">
        <v>32</v>
      </c>
      <c r="D14" s="388"/>
      <c r="E14" s="390"/>
      <c r="F14" s="391"/>
      <c r="G14" s="392"/>
    </row>
    <row r="15" spans="1:7" ht="29.25" customHeight="1" hidden="1">
      <c r="A15" s="1056"/>
      <c r="B15" s="1057"/>
      <c r="C15" s="1067" t="s">
        <v>252</v>
      </c>
      <c r="D15" s="1057"/>
      <c r="E15" s="1058"/>
      <c r="F15" s="1059"/>
      <c r="G15" s="1060"/>
    </row>
    <row r="16" spans="1:7" ht="36.75" customHeight="1" hidden="1">
      <c r="A16" s="1056"/>
      <c r="B16" s="1057"/>
      <c r="C16" s="1067" t="s">
        <v>253</v>
      </c>
      <c r="D16" s="1057"/>
      <c r="E16" s="1058"/>
      <c r="F16" s="1059"/>
      <c r="G16" s="1060"/>
    </row>
    <row r="17" spans="1:7" ht="43.5" customHeight="1" hidden="1">
      <c r="A17" s="1056"/>
      <c r="B17" s="1057"/>
      <c r="C17" s="1067" t="s">
        <v>254</v>
      </c>
      <c r="D17" s="1057"/>
      <c r="E17" s="1058"/>
      <c r="F17" s="1059"/>
      <c r="G17" s="1060"/>
    </row>
    <row r="18" spans="1:12" s="375" customFormat="1" ht="12.75">
      <c r="A18" s="1052"/>
      <c r="B18" s="1053"/>
      <c r="C18" s="1023"/>
      <c r="D18" s="1053"/>
      <c r="E18" s="370"/>
      <c r="F18" s="1055"/>
      <c r="G18" s="372"/>
      <c r="H18" s="373"/>
      <c r="I18" s="374"/>
      <c r="J18" s="374"/>
      <c r="K18" s="374"/>
      <c r="L18" s="374"/>
    </row>
    <row r="19" spans="1:12" s="366" customFormat="1" ht="33" customHeight="1">
      <c r="A19" s="1024"/>
      <c r="B19" s="1025"/>
      <c r="C19" s="1026" t="s">
        <v>36</v>
      </c>
      <c r="D19" s="1025"/>
      <c r="E19" s="155"/>
      <c r="F19" s="1027"/>
      <c r="G19" s="157"/>
      <c r="H19" s="364"/>
      <c r="I19" s="365"/>
      <c r="J19" s="365"/>
      <c r="K19" s="365"/>
      <c r="L19" s="365"/>
    </row>
    <row r="20" spans="1:12" s="366" customFormat="1" ht="22">
      <c r="A20" s="1024"/>
      <c r="B20" s="1025"/>
      <c r="C20" s="1028" t="s">
        <v>37</v>
      </c>
      <c r="D20" s="1025"/>
      <c r="E20" s="155"/>
      <c r="F20" s="1027"/>
      <c r="G20" s="394"/>
      <c r="H20" s="364"/>
      <c r="I20" s="365"/>
      <c r="J20" s="365"/>
      <c r="K20" s="365"/>
      <c r="L20" s="365"/>
    </row>
    <row r="21" spans="1:12" s="366" customFormat="1" ht="17.75" customHeight="1">
      <c r="A21" s="742" t="str">
        <f>A37</f>
        <v>1</v>
      </c>
      <c r="B21" s="999"/>
      <c r="C21" s="1000" t="str">
        <f>C37</f>
        <v>Bourací  práce</v>
      </c>
      <c r="D21" s="1001"/>
      <c r="E21" s="1001"/>
      <c r="F21" s="1002"/>
      <c r="G21" s="747">
        <f>G92</f>
        <v>0</v>
      </c>
      <c r="H21" s="364"/>
      <c r="I21" s="365"/>
      <c r="J21" s="365"/>
      <c r="K21" s="365"/>
      <c r="L21" s="365"/>
    </row>
    <row r="22" spans="1:12" s="366" customFormat="1" ht="17.75" customHeight="1">
      <c r="A22" s="742" t="str">
        <f>A94</f>
        <v>2</v>
      </c>
      <c r="B22" s="999"/>
      <c r="C22" s="1000" t="str">
        <f>C94</f>
        <v>Svislé a kompletní konstrukce + úpravy povrchů</v>
      </c>
      <c r="D22" s="1001"/>
      <c r="E22" s="1001"/>
      <c r="F22" s="1002"/>
      <c r="G22" s="747">
        <f>G145</f>
        <v>0</v>
      </c>
      <c r="H22" s="364"/>
      <c r="I22" s="365"/>
      <c r="J22" s="365"/>
      <c r="K22" s="365"/>
      <c r="L22" s="365"/>
    </row>
    <row r="23" spans="1:12" s="366" customFormat="1" ht="17.75" customHeight="1">
      <c r="A23" s="742" t="str">
        <f>A147</f>
        <v>3</v>
      </c>
      <c r="B23" s="999"/>
      <c r="C23" s="1000" t="str">
        <f>C147</f>
        <v>Osazování výplní</v>
      </c>
      <c r="D23" s="1001"/>
      <c r="E23" s="1001"/>
      <c r="F23" s="1002"/>
      <c r="G23" s="747">
        <f>G181</f>
        <v>0</v>
      </c>
      <c r="H23" s="364"/>
      <c r="I23" s="365"/>
      <c r="J23" s="365"/>
      <c r="K23" s="365"/>
      <c r="L23" s="365"/>
    </row>
    <row r="24" spans="1:12" s="366" customFormat="1" ht="17.75" customHeight="1">
      <c r="A24" s="742" t="str">
        <f>A183</f>
        <v>4</v>
      </c>
      <c r="B24" s="999"/>
      <c r="C24" s="1000" t="str">
        <f>C183</f>
        <v>Konstrukce zámečnické</v>
      </c>
      <c r="D24" s="1001"/>
      <c r="E24" s="1001"/>
      <c r="F24" s="1002"/>
      <c r="G24" s="747">
        <f>G193</f>
        <v>0</v>
      </c>
      <c r="H24" s="364"/>
      <c r="I24" s="365"/>
      <c r="J24" s="365"/>
      <c r="K24" s="365"/>
      <c r="L24" s="365"/>
    </row>
    <row r="25" spans="1:12" s="366" customFormat="1" ht="17.75" customHeight="1">
      <c r="A25" s="742" t="str">
        <f>A195</f>
        <v>5</v>
      </c>
      <c r="B25" s="999"/>
      <c r="C25" s="1000" t="str">
        <f>C195</f>
        <v>Povlakové krytiny</v>
      </c>
      <c r="D25" s="1001"/>
      <c r="E25" s="1001"/>
      <c r="F25" s="1002"/>
      <c r="G25" s="747">
        <f>G199</f>
        <v>0</v>
      </c>
      <c r="H25" s="364"/>
      <c r="I25" s="365"/>
      <c r="J25" s="365"/>
      <c r="K25" s="365"/>
      <c r="L25" s="365"/>
    </row>
    <row r="26" spans="1:12" s="366" customFormat="1" ht="17.75" customHeight="1">
      <c r="A26" s="742" t="str">
        <f>A201</f>
        <v>6</v>
      </c>
      <c r="B26" s="999"/>
      <c r="C26" s="1000" t="str">
        <f>C201</f>
        <v>Izolace tepelné</v>
      </c>
      <c r="D26" s="1001"/>
      <c r="E26" s="1001"/>
      <c r="F26" s="1002"/>
      <c r="G26" s="747">
        <f>G220</f>
        <v>0</v>
      </c>
      <c r="H26" s="364"/>
      <c r="I26" s="365"/>
      <c r="J26" s="365"/>
      <c r="K26" s="365"/>
      <c r="L26" s="365"/>
    </row>
    <row r="27" spans="1:12" s="366" customFormat="1" ht="17.75" customHeight="1">
      <c r="A27" s="742" t="str">
        <f>A222</f>
        <v>7</v>
      </c>
      <c r="B27" s="999"/>
      <c r="C27" s="1000" t="str">
        <f>C222</f>
        <v>Konstrukce tesařské</v>
      </c>
      <c r="D27" s="1001"/>
      <c r="E27" s="1001"/>
      <c r="F27" s="1002"/>
      <c r="G27" s="747">
        <f>G239</f>
        <v>0</v>
      </c>
      <c r="H27" s="364"/>
      <c r="I27" s="365"/>
      <c r="J27" s="365"/>
      <c r="K27" s="365"/>
      <c r="L27" s="365"/>
    </row>
    <row r="28" spans="1:12" s="366" customFormat="1" ht="17.75" customHeight="1">
      <c r="A28" s="742" t="str">
        <f>A241</f>
        <v>8</v>
      </c>
      <c r="B28" s="999"/>
      <c r="C28" s="1000" t="str">
        <f>C241</f>
        <v>Konstrukce klempířské</v>
      </c>
      <c r="D28" s="1001"/>
      <c r="E28" s="1001"/>
      <c r="F28" s="1002"/>
      <c r="G28" s="747">
        <f>G284</f>
        <v>0</v>
      </c>
      <c r="H28" s="364"/>
      <c r="I28" s="365"/>
      <c r="J28" s="365"/>
      <c r="K28" s="365"/>
      <c r="L28" s="365"/>
    </row>
    <row r="29" spans="1:12" s="366" customFormat="1" ht="17.75" customHeight="1">
      <c r="A29" s="742" t="str">
        <f>A286</f>
        <v>9</v>
      </c>
      <c r="B29" s="999"/>
      <c r="C29" s="1000" t="str">
        <f>C286</f>
        <v>Podlahy  a obklady z dlaždic</v>
      </c>
      <c r="D29" s="1001"/>
      <c r="E29" s="1001"/>
      <c r="F29" s="1002"/>
      <c r="G29" s="747">
        <f>G308</f>
        <v>0</v>
      </c>
      <c r="H29" s="364"/>
      <c r="I29" s="365"/>
      <c r="J29" s="365"/>
      <c r="K29" s="365"/>
      <c r="L29" s="365"/>
    </row>
    <row r="30" spans="1:12" s="366" customFormat="1" ht="17.75" customHeight="1">
      <c r="A30" s="742" t="str">
        <f>A310</f>
        <v>10</v>
      </c>
      <c r="B30" s="999"/>
      <c r="C30" s="1000" t="str">
        <f>C310</f>
        <v>Konstrukce pokrývačské - úprava stávající betonové krytiny</v>
      </c>
      <c r="D30" s="1001"/>
      <c r="E30" s="1001"/>
      <c r="F30" s="1002"/>
      <c r="G30" s="747">
        <f>G325</f>
        <v>0</v>
      </c>
      <c r="H30" s="364"/>
      <c r="I30" s="365"/>
      <c r="J30" s="365"/>
      <c r="K30" s="365"/>
      <c r="L30" s="365"/>
    </row>
    <row r="31" spans="1:12" s="366" customFormat="1" ht="17.75" customHeight="1">
      <c r="A31" s="742" t="str">
        <f>A327</f>
        <v>11</v>
      </c>
      <c r="B31" s="999"/>
      <c r="C31" s="1000" t="str">
        <f>C327</f>
        <v>Půdní prostor</v>
      </c>
      <c r="D31" s="1001"/>
      <c r="E31" s="1001"/>
      <c r="F31" s="1002"/>
      <c r="G31" s="747">
        <f>G358</f>
        <v>0</v>
      </c>
      <c r="H31" s="364"/>
      <c r="I31" s="365"/>
      <c r="J31" s="365"/>
      <c r="K31" s="365"/>
      <c r="L31" s="365"/>
    </row>
    <row r="32" spans="1:12" s="863" customFormat="1" ht="17.75" customHeight="1">
      <c r="A32" s="742" t="str">
        <f>A360</f>
        <v>12</v>
      </c>
      <c r="B32" s="999"/>
      <c r="C32" s="1000" t="str">
        <f>C360</f>
        <v>Lešení</v>
      </c>
      <c r="D32" s="1001"/>
      <c r="E32" s="1001"/>
      <c r="F32" s="1002"/>
      <c r="G32" s="1003">
        <f>G370</f>
        <v>0</v>
      </c>
      <c r="H32" s="860"/>
      <c r="I32" s="862"/>
      <c r="J32" s="862"/>
      <c r="K32" s="862"/>
      <c r="L32" s="862"/>
    </row>
    <row r="33" spans="1:10" ht="18" customHeight="1">
      <c r="A33" s="742" t="str">
        <f>A372</f>
        <v>A</v>
      </c>
      <c r="B33" s="999"/>
      <c r="C33" s="1000" t="str">
        <f>C372</f>
        <v xml:space="preserve">Ostatní </v>
      </c>
      <c r="D33" s="1001"/>
      <c r="E33" s="1001"/>
      <c r="F33" s="1002"/>
      <c r="G33" s="747">
        <f>G376</f>
        <v>0</v>
      </c>
      <c r="J33" s="624"/>
    </row>
    <row r="34" spans="1:10" ht="13" thickBot="1">
      <c r="A34" s="742"/>
      <c r="B34" s="1025"/>
      <c r="C34" s="1029"/>
      <c r="D34" s="1025"/>
      <c r="E34" s="1030"/>
      <c r="F34" s="1027"/>
      <c r="G34" s="747"/>
      <c r="J34" s="624"/>
    </row>
    <row r="35" spans="1:10" ht="21" customHeight="1" thickBot="1">
      <c r="A35" s="170"/>
      <c r="B35" s="171"/>
      <c r="C35" s="172" t="s">
        <v>38</v>
      </c>
      <c r="D35" s="175"/>
      <c r="E35" s="174"/>
      <c r="F35" s="175"/>
      <c r="G35" s="176">
        <f>SUM(G21:G33)</f>
        <v>0</v>
      </c>
      <c r="J35" s="624"/>
    </row>
    <row r="36" spans="1:10" ht="13" thickBot="1">
      <c r="A36" s="179"/>
      <c r="B36" s="180"/>
      <c r="C36" s="180"/>
      <c r="D36" s="180"/>
      <c r="E36" s="180"/>
      <c r="F36" s="180"/>
      <c r="G36" s="396"/>
      <c r="J36" s="624"/>
    </row>
    <row r="37" spans="1:12" s="366" customFormat="1" ht="18" customHeight="1" thickBot="1">
      <c r="A37" s="182" t="s">
        <v>43</v>
      </c>
      <c r="B37" s="183"/>
      <c r="C37" s="184" t="s">
        <v>255</v>
      </c>
      <c r="D37" s="397"/>
      <c r="E37" s="398"/>
      <c r="F37" s="187"/>
      <c r="G37" s="399"/>
      <c r="H37" s="364"/>
      <c r="I37" s="365"/>
      <c r="J37" s="925"/>
      <c r="K37" s="365"/>
      <c r="L37" s="365"/>
    </row>
    <row r="38" spans="1:12" s="366" customFormat="1" ht="12.75" customHeight="1">
      <c r="A38" s="189"/>
      <c r="B38" s="400"/>
      <c r="C38" s="232"/>
      <c r="D38" s="233"/>
      <c r="E38" s="401"/>
      <c r="F38" s="402"/>
      <c r="G38" s="403"/>
      <c r="H38" s="364"/>
      <c r="I38" s="365"/>
      <c r="J38" s="925"/>
      <c r="K38" s="365"/>
      <c r="L38" s="365"/>
    </row>
    <row r="39" spans="1:12" s="366" customFormat="1" ht="31.5" customHeight="1">
      <c r="A39" s="750" t="s">
        <v>45</v>
      </c>
      <c r="B39" s="931" t="s">
        <v>2361</v>
      </c>
      <c r="C39" s="306" t="s">
        <v>2436</v>
      </c>
      <c r="D39" s="489" t="s">
        <v>161</v>
      </c>
      <c r="E39" s="490">
        <v>1</v>
      </c>
      <c r="F39" s="439"/>
      <c r="G39" s="781">
        <f>E39*F39</f>
        <v>0</v>
      </c>
      <c r="H39" s="364"/>
      <c r="I39" s="365"/>
      <c r="J39" s="925"/>
      <c r="K39" s="365"/>
      <c r="L39" s="365"/>
    </row>
    <row r="40" spans="1:12" s="366" customFormat="1" ht="12.75" customHeight="1">
      <c r="A40" s="572"/>
      <c r="B40" s="477"/>
      <c r="C40" s="306"/>
      <c r="D40" s="489"/>
      <c r="E40" s="490"/>
      <c r="F40" s="439"/>
      <c r="G40" s="573"/>
      <c r="H40" s="364"/>
      <c r="I40" s="365"/>
      <c r="J40" s="925"/>
      <c r="K40" s="365"/>
      <c r="L40" s="365"/>
    </row>
    <row r="41" spans="1:12" s="366" customFormat="1" ht="31.5" customHeight="1">
      <c r="A41" s="750" t="s">
        <v>47</v>
      </c>
      <c r="B41" s="931" t="s">
        <v>2362</v>
      </c>
      <c r="C41" s="306" t="s">
        <v>2363</v>
      </c>
      <c r="D41" s="489" t="s">
        <v>161</v>
      </c>
      <c r="E41" s="490">
        <v>1</v>
      </c>
      <c r="F41" s="439"/>
      <c r="G41" s="781">
        <f>E41*F41</f>
        <v>0</v>
      </c>
      <c r="H41" s="364"/>
      <c r="I41" s="365"/>
      <c r="J41" s="925"/>
      <c r="K41" s="365"/>
      <c r="L41" s="365"/>
    </row>
    <row r="42" spans="1:12" s="366" customFormat="1" ht="12.75" customHeight="1">
      <c r="A42" s="572"/>
      <c r="B42" s="477"/>
      <c r="C42" s="306"/>
      <c r="D42" s="489"/>
      <c r="E42" s="490"/>
      <c r="F42" s="439"/>
      <c r="G42" s="573"/>
      <c r="H42" s="364"/>
      <c r="I42" s="365"/>
      <c r="J42" s="925"/>
      <c r="K42" s="365"/>
      <c r="L42" s="365"/>
    </row>
    <row r="43" spans="1:20" s="204" customFormat="1" ht="20.25" customHeight="1">
      <c r="A43" s="750" t="s">
        <v>50</v>
      </c>
      <c r="B43" s="931" t="s">
        <v>1104</v>
      </c>
      <c r="C43" s="1068" t="s">
        <v>1105</v>
      </c>
      <c r="D43" s="1069" t="s">
        <v>46</v>
      </c>
      <c r="E43" s="1070">
        <f>SUM(D44)</f>
        <v>10.33</v>
      </c>
      <c r="F43" s="947"/>
      <c r="G43" s="781">
        <f>E43*F43</f>
        <v>0</v>
      </c>
      <c r="H43" s="85">
        <v>0</v>
      </c>
      <c r="I43" s="85">
        <f>E43*H43</f>
        <v>0</v>
      </c>
      <c r="J43" s="861">
        <v>0.048</v>
      </c>
      <c r="K43" s="861">
        <f>E43*J43</f>
        <v>0.49584</v>
      </c>
      <c r="L43" s="85"/>
      <c r="M43" s="85"/>
      <c r="N43" s="202"/>
      <c r="O43" s="794"/>
      <c r="P43" s="806"/>
      <c r="Q43" s="806"/>
      <c r="R43" s="808"/>
      <c r="S43" s="203"/>
      <c r="T43" s="203"/>
    </row>
    <row r="44" spans="1:20" s="596" customFormat="1" ht="21.75" customHeight="1">
      <c r="A44" s="572"/>
      <c r="B44" s="1071"/>
      <c r="C44" s="1072" t="s">
        <v>2182</v>
      </c>
      <c r="D44" s="1073">
        <f>0.78*3+0.94*1+0.54*8+0.69*3+0.33*2</f>
        <v>10.33</v>
      </c>
      <c r="E44" s="1074"/>
      <c r="F44" s="991"/>
      <c r="G44" s="761"/>
      <c r="H44" s="593"/>
      <c r="I44" s="593"/>
      <c r="J44" s="926"/>
      <c r="K44" s="926"/>
      <c r="L44" s="593"/>
      <c r="M44" s="593"/>
      <c r="N44" s="594"/>
      <c r="O44" s="794"/>
      <c r="P44" s="806"/>
      <c r="Q44" s="806"/>
      <c r="R44" s="814"/>
      <c r="S44" s="595"/>
      <c r="T44" s="595"/>
    </row>
    <row r="45" spans="1:20" s="204" customFormat="1" ht="20.25" customHeight="1">
      <c r="A45" s="750" t="s">
        <v>53</v>
      </c>
      <c r="B45" s="931" t="s">
        <v>1106</v>
      </c>
      <c r="C45" s="1068" t="s">
        <v>1107</v>
      </c>
      <c r="D45" s="1069" t="s">
        <v>46</v>
      </c>
      <c r="E45" s="1070">
        <f>SUM(D46)</f>
        <v>26.869999999999997</v>
      </c>
      <c r="F45" s="947"/>
      <c r="G45" s="781">
        <f>E45*F45</f>
        <v>0</v>
      </c>
      <c r="H45" s="85">
        <v>0</v>
      </c>
      <c r="I45" s="85">
        <f>E45*H45</f>
        <v>0</v>
      </c>
      <c r="J45" s="861">
        <v>0.038</v>
      </c>
      <c r="K45" s="861">
        <f>E45*J45</f>
        <v>1.0210599999999999</v>
      </c>
      <c r="L45" s="85"/>
      <c r="M45" s="85"/>
      <c r="N45" s="202"/>
      <c r="O45" s="794"/>
      <c r="P45" s="806"/>
      <c r="Q45" s="806"/>
      <c r="R45" s="808"/>
      <c r="S45" s="203"/>
      <c r="T45" s="203"/>
    </row>
    <row r="46" spans="1:20" s="596" customFormat="1" ht="20.25" customHeight="1">
      <c r="A46" s="572"/>
      <c r="B46" s="1071"/>
      <c r="C46" s="1072" t="s">
        <v>2183</v>
      </c>
      <c r="D46" s="1073">
        <f>1.05*1+1.93*8+1.05*2+1.04*1+1.78*2+1.84*2</f>
        <v>26.869999999999997</v>
      </c>
      <c r="E46" s="1074"/>
      <c r="F46" s="991"/>
      <c r="G46" s="761"/>
      <c r="H46" s="593"/>
      <c r="I46" s="593"/>
      <c r="J46" s="926"/>
      <c r="K46" s="926"/>
      <c r="L46" s="593"/>
      <c r="M46" s="593"/>
      <c r="N46" s="594"/>
      <c r="O46" s="794"/>
      <c r="P46" s="806"/>
      <c r="Q46" s="806"/>
      <c r="R46" s="814"/>
      <c r="S46" s="595"/>
      <c r="T46" s="595"/>
    </row>
    <row r="47" spans="1:20" s="214" customFormat="1" ht="32.25" customHeight="1">
      <c r="A47" s="750" t="s">
        <v>56</v>
      </c>
      <c r="B47" s="931" t="s">
        <v>2184</v>
      </c>
      <c r="C47" s="1068" t="s">
        <v>2185</v>
      </c>
      <c r="D47" s="1075" t="s">
        <v>46</v>
      </c>
      <c r="E47" s="1070">
        <f>SUM(D48)</f>
        <v>29.679999999999996</v>
      </c>
      <c r="F47" s="947"/>
      <c r="G47" s="781">
        <f>E47*F47</f>
        <v>0</v>
      </c>
      <c r="H47" s="85">
        <v>0</v>
      </c>
      <c r="I47" s="85">
        <f>E47*H47</f>
        <v>0</v>
      </c>
      <c r="J47" s="861">
        <v>0.034</v>
      </c>
      <c r="K47" s="861">
        <f>E47*J47</f>
        <v>1.00912</v>
      </c>
      <c r="L47" s="211"/>
      <c r="M47" s="211"/>
      <c r="N47" s="212"/>
      <c r="O47" s="794"/>
      <c r="P47" s="806"/>
      <c r="Q47" s="806"/>
      <c r="R47" s="807"/>
      <c r="S47" s="213"/>
      <c r="T47" s="213"/>
    </row>
    <row r="48" spans="1:20" s="596" customFormat="1" ht="20.25" customHeight="1">
      <c r="A48" s="572"/>
      <c r="B48" s="1071"/>
      <c r="C48" s="1072" t="s">
        <v>2192</v>
      </c>
      <c r="D48" s="1073">
        <f>3.71*4+3.05*1+2.01*2+2.61*2+2.56*1-0.01</f>
        <v>29.679999999999996</v>
      </c>
      <c r="E48" s="1074"/>
      <c r="F48" s="991"/>
      <c r="G48" s="761"/>
      <c r="H48" s="593"/>
      <c r="I48" s="593"/>
      <c r="J48" s="926"/>
      <c r="K48" s="926"/>
      <c r="L48" s="593"/>
      <c r="M48" s="593"/>
      <c r="N48" s="594"/>
      <c r="O48" s="794"/>
      <c r="P48" s="806"/>
      <c r="Q48" s="806"/>
      <c r="R48" s="814"/>
      <c r="S48" s="595"/>
      <c r="T48" s="595"/>
    </row>
    <row r="49" spans="1:20" s="214" customFormat="1" ht="23.25" customHeight="1">
      <c r="A49" s="750" t="s">
        <v>58</v>
      </c>
      <c r="B49" s="931">
        <v>766691914</v>
      </c>
      <c r="C49" s="1068" t="s">
        <v>1393</v>
      </c>
      <c r="D49" s="1075" t="s">
        <v>175</v>
      </c>
      <c r="E49" s="1070">
        <v>8</v>
      </c>
      <c r="F49" s="947"/>
      <c r="G49" s="781">
        <f>E49*F49</f>
        <v>0</v>
      </c>
      <c r="H49" s="85">
        <v>0</v>
      </c>
      <c r="I49" s="85">
        <v>0</v>
      </c>
      <c r="J49" s="861">
        <v>0.088</v>
      </c>
      <c r="K49" s="861">
        <v>0.336</v>
      </c>
      <c r="L49" s="211"/>
      <c r="M49" s="211"/>
      <c r="N49" s="212"/>
      <c r="O49" s="794"/>
      <c r="P49" s="806"/>
      <c r="Q49" s="806"/>
      <c r="R49" s="807"/>
      <c r="S49" s="213"/>
      <c r="T49" s="213"/>
    </row>
    <row r="50" spans="1:20" s="214" customFormat="1" ht="23.25" customHeight="1">
      <c r="A50" s="750" t="s">
        <v>61</v>
      </c>
      <c r="B50" s="931" t="s">
        <v>2186</v>
      </c>
      <c r="C50" s="1068" t="s">
        <v>2187</v>
      </c>
      <c r="D50" s="1075" t="s">
        <v>46</v>
      </c>
      <c r="E50" s="1070">
        <f>SUM(D51)</f>
        <v>7.54</v>
      </c>
      <c r="F50" s="947"/>
      <c r="G50" s="781">
        <f>E50*F50</f>
        <v>0</v>
      </c>
      <c r="H50" s="85">
        <v>0</v>
      </c>
      <c r="I50" s="85">
        <v>0</v>
      </c>
      <c r="J50" s="861">
        <v>0.067</v>
      </c>
      <c r="K50" s="861">
        <v>0.336</v>
      </c>
      <c r="L50" s="211"/>
      <c r="M50" s="211"/>
      <c r="N50" s="212"/>
      <c r="O50" s="794"/>
      <c r="P50" s="806"/>
      <c r="Q50" s="806"/>
      <c r="R50" s="807"/>
      <c r="S50" s="213"/>
      <c r="T50" s="213"/>
    </row>
    <row r="51" spans="1:20" s="251" customFormat="1" ht="15" customHeight="1">
      <c r="A51" s="750"/>
      <c r="B51" s="995"/>
      <c r="C51" s="996" t="s">
        <v>2190</v>
      </c>
      <c r="D51" s="997">
        <f>2*2+1.77*2</f>
        <v>7.54</v>
      </c>
      <c r="E51" s="1076"/>
      <c r="F51" s="1076"/>
      <c r="G51" s="866"/>
      <c r="H51" s="407"/>
      <c r="I51" s="407"/>
      <c r="J51" s="927"/>
      <c r="K51" s="769"/>
      <c r="L51" s="408"/>
      <c r="M51" s="408"/>
      <c r="N51" s="409"/>
      <c r="O51" s="410"/>
      <c r="P51" s="410"/>
      <c r="Q51" s="410"/>
      <c r="R51" s="410"/>
      <c r="S51" s="410"/>
      <c r="T51" s="410"/>
    </row>
    <row r="52" spans="1:20" s="244" customFormat="1" ht="24.75" customHeight="1">
      <c r="A52" s="750" t="s">
        <v>63</v>
      </c>
      <c r="B52" s="945" t="s">
        <v>2188</v>
      </c>
      <c r="C52" s="992" t="s">
        <v>2189</v>
      </c>
      <c r="D52" s="993" t="s">
        <v>46</v>
      </c>
      <c r="E52" s="1070">
        <f>SUM(D53)</f>
        <v>13.98</v>
      </c>
      <c r="F52" s="1077"/>
      <c r="G52" s="781">
        <f>E52*F52</f>
        <v>0</v>
      </c>
      <c r="H52" s="242">
        <v>0</v>
      </c>
      <c r="I52" s="242">
        <f>E52*H52</f>
        <v>0</v>
      </c>
      <c r="J52" s="769">
        <v>0.067</v>
      </c>
      <c r="K52" s="769">
        <f>E52*J52</f>
        <v>0.93666</v>
      </c>
      <c r="L52" s="243"/>
      <c r="M52" s="243"/>
      <c r="N52" s="405"/>
      <c r="O52" s="406"/>
      <c r="P52" s="406"/>
      <c r="Q52" s="406"/>
      <c r="R52" s="406"/>
      <c r="S52" s="406"/>
      <c r="T52" s="406"/>
    </row>
    <row r="53" spans="1:20" s="251" customFormat="1" ht="15" customHeight="1">
      <c r="A53" s="750"/>
      <c r="B53" s="995"/>
      <c r="C53" s="996" t="s">
        <v>2191</v>
      </c>
      <c r="D53" s="997">
        <f>4.32*1+5.76*1+3.9*1</f>
        <v>13.98</v>
      </c>
      <c r="E53" s="1076"/>
      <c r="F53" s="1076"/>
      <c r="G53" s="866"/>
      <c r="H53" s="407"/>
      <c r="I53" s="407"/>
      <c r="J53" s="927"/>
      <c r="K53" s="769"/>
      <c r="L53" s="408"/>
      <c r="M53" s="408"/>
      <c r="N53" s="409"/>
      <c r="O53" s="410"/>
      <c r="P53" s="410"/>
      <c r="Q53" s="410"/>
      <c r="R53" s="410"/>
      <c r="S53" s="410"/>
      <c r="T53" s="410"/>
    </row>
    <row r="54" spans="1:12" s="251" customFormat="1" ht="19.5" customHeight="1">
      <c r="A54" s="750"/>
      <c r="B54" s="995"/>
      <c r="C54" s="996"/>
      <c r="D54" s="997"/>
      <c r="E54" s="998"/>
      <c r="F54" s="998"/>
      <c r="G54" s="729"/>
      <c r="H54" s="249"/>
      <c r="I54" s="250"/>
      <c r="J54" s="724"/>
      <c r="K54" s="724"/>
      <c r="L54" s="250"/>
    </row>
    <row r="55" spans="1:20" s="244" customFormat="1" ht="24" customHeight="1">
      <c r="A55" s="750" t="s">
        <v>64</v>
      </c>
      <c r="B55" s="945" t="s">
        <v>2193</v>
      </c>
      <c r="C55" s="992" t="s">
        <v>2194</v>
      </c>
      <c r="D55" s="993" t="s">
        <v>116</v>
      </c>
      <c r="E55" s="1077">
        <v>17.5</v>
      </c>
      <c r="F55" s="1077"/>
      <c r="G55" s="781">
        <f>E55*F55</f>
        <v>0</v>
      </c>
      <c r="H55" s="242">
        <v>0</v>
      </c>
      <c r="I55" s="242">
        <f>E55*H55</f>
        <v>0</v>
      </c>
      <c r="J55" s="769">
        <v>0.112</v>
      </c>
      <c r="K55" s="769">
        <f>E55*J55</f>
        <v>1.96</v>
      </c>
      <c r="L55" s="243"/>
      <c r="M55" s="243"/>
      <c r="N55" s="405"/>
      <c r="O55" s="406"/>
      <c r="P55" s="406"/>
      <c r="Q55" s="406"/>
      <c r="R55" s="406"/>
      <c r="S55" s="406"/>
      <c r="T55" s="406"/>
    </row>
    <row r="56" spans="1:12" s="251" customFormat="1" ht="11.25" customHeight="1">
      <c r="A56" s="750"/>
      <c r="B56" s="995"/>
      <c r="C56" s="996"/>
      <c r="D56" s="997"/>
      <c r="E56" s="998"/>
      <c r="F56" s="998"/>
      <c r="G56" s="729"/>
      <c r="H56" s="249"/>
      <c r="I56" s="250"/>
      <c r="J56" s="724"/>
      <c r="K56" s="724"/>
      <c r="L56" s="250"/>
    </row>
    <row r="57" spans="1:20" s="204" customFormat="1" ht="21" customHeight="1">
      <c r="A57" s="750" t="s">
        <v>66</v>
      </c>
      <c r="B57" s="945" t="s">
        <v>2195</v>
      </c>
      <c r="C57" s="948" t="s">
        <v>2196</v>
      </c>
      <c r="D57" s="946" t="s">
        <v>52</v>
      </c>
      <c r="E57" s="947">
        <f>SUM(D58)</f>
        <v>8.924000000000001</v>
      </c>
      <c r="F57" s="947"/>
      <c r="G57" s="781">
        <f>E57*F57</f>
        <v>0</v>
      </c>
      <c r="H57" s="201">
        <v>0</v>
      </c>
      <c r="I57" s="201">
        <f>E57*H57</f>
        <v>0</v>
      </c>
      <c r="J57" s="673">
        <v>2.5</v>
      </c>
      <c r="K57" s="673">
        <f>E57*J57</f>
        <v>22.310000000000002</v>
      </c>
      <c r="L57" s="85"/>
      <c r="M57" s="85"/>
      <c r="N57" s="202"/>
      <c r="O57" s="203"/>
      <c r="P57" s="203"/>
      <c r="Q57" s="203"/>
      <c r="R57" s="203"/>
      <c r="S57" s="203"/>
      <c r="T57" s="203"/>
    </row>
    <row r="58" spans="1:20" s="214" customFormat="1" ht="15" customHeight="1">
      <c r="A58" s="750"/>
      <c r="B58" s="995"/>
      <c r="C58" s="990" t="s">
        <v>2197</v>
      </c>
      <c r="D58" s="1031">
        <f>13.1*0.4*1.35+3.7*0.5</f>
        <v>8.924000000000001</v>
      </c>
      <c r="E58" s="1078"/>
      <c r="F58" s="1078"/>
      <c r="G58" s="866"/>
      <c r="H58" s="210"/>
      <c r="I58" s="210"/>
      <c r="J58" s="705"/>
      <c r="K58" s="673"/>
      <c r="L58" s="211"/>
      <c r="M58" s="211"/>
      <c r="N58" s="212"/>
      <c r="O58" s="213"/>
      <c r="P58" s="213"/>
      <c r="Q58" s="213"/>
      <c r="R58" s="213"/>
      <c r="S58" s="213"/>
      <c r="T58" s="213"/>
    </row>
    <row r="59" spans="1:20" s="204" customFormat="1" ht="21" customHeight="1">
      <c r="A59" s="750" t="s">
        <v>70</v>
      </c>
      <c r="B59" s="945" t="s">
        <v>2198</v>
      </c>
      <c r="C59" s="948" t="s">
        <v>2199</v>
      </c>
      <c r="D59" s="946" t="s">
        <v>46</v>
      </c>
      <c r="E59" s="947">
        <v>19.6</v>
      </c>
      <c r="F59" s="947"/>
      <c r="G59" s="781">
        <f>E59*F59</f>
        <v>0</v>
      </c>
      <c r="H59" s="201">
        <v>0</v>
      </c>
      <c r="I59" s="201">
        <f>E59*H59</f>
        <v>0</v>
      </c>
      <c r="J59" s="673">
        <v>0.383</v>
      </c>
      <c r="K59" s="673">
        <f>E59*J59</f>
        <v>7.506800000000001</v>
      </c>
      <c r="L59" s="85"/>
      <c r="M59" s="85"/>
      <c r="N59" s="202"/>
      <c r="O59" s="203"/>
      <c r="P59" s="203"/>
      <c r="Q59" s="203"/>
      <c r="R59" s="203"/>
      <c r="S59" s="203"/>
      <c r="T59" s="203"/>
    </row>
    <row r="60" spans="1:20" s="214" customFormat="1" ht="15" customHeight="1">
      <c r="A60" s="750"/>
      <c r="B60" s="995"/>
      <c r="C60" s="990"/>
      <c r="D60" s="1031"/>
      <c r="E60" s="1078"/>
      <c r="F60" s="1078"/>
      <c r="G60" s="866"/>
      <c r="H60" s="210"/>
      <c r="I60" s="210"/>
      <c r="J60" s="705"/>
      <c r="K60" s="673"/>
      <c r="L60" s="211"/>
      <c r="M60" s="211"/>
      <c r="N60" s="212"/>
      <c r="O60" s="213"/>
      <c r="P60" s="213"/>
      <c r="Q60" s="213"/>
      <c r="R60" s="213"/>
      <c r="S60" s="213"/>
      <c r="T60" s="213"/>
    </row>
    <row r="61" spans="1:20" s="204" customFormat="1" ht="22.5" customHeight="1">
      <c r="A61" s="750" t="s">
        <v>74</v>
      </c>
      <c r="B61" s="945" t="s">
        <v>2056</v>
      </c>
      <c r="C61" s="948" t="s">
        <v>2057</v>
      </c>
      <c r="D61" s="946" t="s">
        <v>52</v>
      </c>
      <c r="E61" s="947">
        <f>SUM(D62)</f>
        <v>10.350000000000001</v>
      </c>
      <c r="F61" s="947"/>
      <c r="G61" s="781">
        <f>E61*F61</f>
        <v>0</v>
      </c>
      <c r="H61" s="201">
        <v>0</v>
      </c>
      <c r="I61" s="201">
        <f>E61*H61</f>
        <v>0</v>
      </c>
      <c r="J61" s="673">
        <v>2.2</v>
      </c>
      <c r="K61" s="673">
        <f>E61*J61</f>
        <v>22.770000000000007</v>
      </c>
      <c r="L61" s="85"/>
      <c r="M61" s="85"/>
      <c r="N61" s="202"/>
      <c r="O61" s="203"/>
      <c r="P61" s="203"/>
      <c r="Q61" s="203"/>
      <c r="R61" s="203"/>
      <c r="S61" s="203"/>
      <c r="T61" s="203"/>
    </row>
    <row r="62" spans="1:20" s="214" customFormat="1" ht="15" customHeight="1">
      <c r="A62" s="750"/>
      <c r="B62" s="995"/>
      <c r="C62" s="990" t="s">
        <v>2200</v>
      </c>
      <c r="D62" s="1031">
        <f>27.6*0.5*0.75</f>
        <v>10.350000000000001</v>
      </c>
      <c r="E62" s="1078"/>
      <c r="F62" s="1078"/>
      <c r="G62" s="866"/>
      <c r="H62" s="210"/>
      <c r="I62" s="210"/>
      <c r="J62" s="705"/>
      <c r="K62" s="673"/>
      <c r="L62" s="211"/>
      <c r="M62" s="211"/>
      <c r="N62" s="212"/>
      <c r="O62" s="213"/>
      <c r="P62" s="213"/>
      <c r="Q62" s="213"/>
      <c r="R62" s="213"/>
      <c r="S62" s="213"/>
      <c r="T62" s="213"/>
    </row>
    <row r="63" spans="1:20" s="204" customFormat="1" ht="29.25" customHeight="1">
      <c r="A63" s="750" t="s">
        <v>77</v>
      </c>
      <c r="B63" s="945">
        <v>965042241</v>
      </c>
      <c r="C63" s="948" t="s">
        <v>340</v>
      </c>
      <c r="D63" s="946" t="s">
        <v>52</v>
      </c>
      <c r="E63" s="947">
        <f>SUM(D64)</f>
        <v>4.5</v>
      </c>
      <c r="F63" s="947"/>
      <c r="G63" s="781">
        <f aca="true" t="shared" si="0" ref="G63:G68">E63*F63</f>
        <v>0</v>
      </c>
      <c r="H63" s="201">
        <v>0</v>
      </c>
      <c r="I63" s="201">
        <f aca="true" t="shared" si="1" ref="I63:I68">E63*H63</f>
        <v>0</v>
      </c>
      <c r="J63" s="673">
        <v>2.2</v>
      </c>
      <c r="K63" s="673">
        <f aca="true" t="shared" si="2" ref="K63:K68">E63*J63</f>
        <v>9.9</v>
      </c>
      <c r="L63" s="85"/>
      <c r="M63" s="85"/>
      <c r="N63" s="202"/>
      <c r="O63" s="203"/>
      <c r="P63" s="203"/>
      <c r="Q63" s="203"/>
      <c r="R63" s="203"/>
      <c r="S63" s="203"/>
      <c r="T63" s="203"/>
    </row>
    <row r="64" spans="1:20" s="214" customFormat="1" ht="15" customHeight="1">
      <c r="A64" s="750"/>
      <c r="B64" s="995"/>
      <c r="C64" s="990" t="s">
        <v>2201</v>
      </c>
      <c r="D64" s="1031">
        <f>18*0.25</f>
        <v>4.5</v>
      </c>
      <c r="E64" s="1078"/>
      <c r="F64" s="1078"/>
      <c r="G64" s="866"/>
      <c r="H64" s="210"/>
      <c r="I64" s="210"/>
      <c r="J64" s="705"/>
      <c r="K64" s="673"/>
      <c r="L64" s="211"/>
      <c r="M64" s="211"/>
      <c r="N64" s="212"/>
      <c r="O64" s="213"/>
      <c r="P64" s="213"/>
      <c r="Q64" s="213"/>
      <c r="R64" s="213"/>
      <c r="S64" s="213"/>
      <c r="T64" s="213"/>
    </row>
    <row r="65" spans="1:20" s="204" customFormat="1" ht="29.25" customHeight="1">
      <c r="A65" s="750" t="s">
        <v>80</v>
      </c>
      <c r="B65" s="945">
        <v>965049112</v>
      </c>
      <c r="C65" s="948" t="s">
        <v>341</v>
      </c>
      <c r="D65" s="946" t="s">
        <v>52</v>
      </c>
      <c r="E65" s="947">
        <f>E63</f>
        <v>4.5</v>
      </c>
      <c r="F65" s="947"/>
      <c r="G65" s="781">
        <f t="shared" si="0"/>
        <v>0</v>
      </c>
      <c r="H65" s="201">
        <v>0</v>
      </c>
      <c r="I65" s="201">
        <f t="shared" si="1"/>
        <v>0</v>
      </c>
      <c r="J65" s="673">
        <v>0.044</v>
      </c>
      <c r="K65" s="673">
        <f t="shared" si="2"/>
        <v>0.19799999999999998</v>
      </c>
      <c r="L65" s="85"/>
      <c r="M65" s="85"/>
      <c r="N65" s="202"/>
      <c r="O65" s="203"/>
      <c r="P65" s="203"/>
      <c r="Q65" s="203"/>
      <c r="R65" s="203"/>
      <c r="S65" s="203"/>
      <c r="T65" s="203"/>
    </row>
    <row r="66" spans="1:20" s="204" customFormat="1" ht="13.5" customHeight="1">
      <c r="A66" s="750"/>
      <c r="B66" s="945"/>
      <c r="C66" s="948"/>
      <c r="D66" s="946"/>
      <c r="E66" s="947"/>
      <c r="F66" s="947"/>
      <c r="G66" s="781"/>
      <c r="H66" s="201"/>
      <c r="I66" s="201"/>
      <c r="J66" s="673"/>
      <c r="K66" s="673"/>
      <c r="L66" s="85"/>
      <c r="M66" s="85"/>
      <c r="N66" s="202"/>
      <c r="O66" s="203"/>
      <c r="P66" s="203"/>
      <c r="Q66" s="203"/>
      <c r="R66" s="203"/>
      <c r="S66" s="203"/>
      <c r="T66" s="203"/>
    </row>
    <row r="67" spans="1:20" s="204" customFormat="1" ht="29.25" customHeight="1">
      <c r="A67" s="750" t="s">
        <v>82</v>
      </c>
      <c r="B67" s="945" t="s">
        <v>59</v>
      </c>
      <c r="C67" s="948" t="s">
        <v>60</v>
      </c>
      <c r="D67" s="946" t="s">
        <v>52</v>
      </c>
      <c r="E67" s="947">
        <v>8.2</v>
      </c>
      <c r="F67" s="947"/>
      <c r="G67" s="781">
        <f>E67*F67</f>
        <v>0</v>
      </c>
      <c r="H67" s="201">
        <v>0</v>
      </c>
      <c r="I67" s="201">
        <f t="shared" si="1"/>
        <v>0</v>
      </c>
      <c r="J67" s="673">
        <v>1.4</v>
      </c>
      <c r="K67" s="673">
        <f t="shared" si="2"/>
        <v>11.479999999999999</v>
      </c>
      <c r="L67" s="85"/>
      <c r="M67" s="85"/>
      <c r="N67" s="202"/>
      <c r="O67" s="203"/>
      <c r="P67" s="203"/>
      <c r="Q67" s="203"/>
      <c r="R67" s="203"/>
      <c r="S67" s="203"/>
      <c r="T67" s="203"/>
    </row>
    <row r="68" spans="1:20" s="204" customFormat="1" ht="29.25" customHeight="1">
      <c r="A68" s="750" t="s">
        <v>84</v>
      </c>
      <c r="B68" s="945" t="s">
        <v>86</v>
      </c>
      <c r="C68" s="948" t="s">
        <v>87</v>
      </c>
      <c r="D68" s="946" t="s">
        <v>52</v>
      </c>
      <c r="E68" s="947">
        <f>SUM(D69)</f>
        <v>5.898000000000001</v>
      </c>
      <c r="F68" s="947"/>
      <c r="G68" s="781">
        <f t="shared" si="0"/>
        <v>0</v>
      </c>
      <c r="H68" s="201">
        <v>0</v>
      </c>
      <c r="I68" s="201">
        <f t="shared" si="1"/>
        <v>0</v>
      </c>
      <c r="J68" s="673">
        <v>0</v>
      </c>
      <c r="K68" s="673">
        <f t="shared" si="2"/>
        <v>0</v>
      </c>
      <c r="L68" s="85"/>
      <c r="M68" s="85"/>
      <c r="N68" s="202"/>
      <c r="O68" s="203"/>
      <c r="P68" s="203"/>
      <c r="Q68" s="203"/>
      <c r="R68" s="203"/>
      <c r="S68" s="203"/>
      <c r="T68" s="203"/>
    </row>
    <row r="69" spans="1:20" s="214" customFormat="1" ht="15" customHeight="1">
      <c r="A69" s="750"/>
      <c r="B69" s="995"/>
      <c r="C69" s="990" t="s">
        <v>2202</v>
      </c>
      <c r="D69" s="1031">
        <f>25.6*0.5*0.4*1.15+0.01</f>
        <v>5.898000000000001</v>
      </c>
      <c r="E69" s="1078"/>
      <c r="F69" s="1078"/>
      <c r="G69" s="866"/>
      <c r="H69" s="210"/>
      <c r="I69" s="210"/>
      <c r="J69" s="705"/>
      <c r="K69" s="673"/>
      <c r="L69" s="211"/>
      <c r="M69" s="211"/>
      <c r="N69" s="212"/>
      <c r="O69" s="213"/>
      <c r="P69" s="213"/>
      <c r="Q69" s="213"/>
      <c r="R69" s="213"/>
      <c r="S69" s="213"/>
      <c r="T69" s="213"/>
    </row>
    <row r="70" spans="1:12" s="244" customFormat="1" ht="15.75" customHeight="1">
      <c r="A70" s="750"/>
      <c r="B70" s="945"/>
      <c r="C70" s="992"/>
      <c r="D70" s="993"/>
      <c r="E70" s="994"/>
      <c r="F70" s="994"/>
      <c r="G70" s="781"/>
      <c r="H70" s="242"/>
      <c r="I70" s="241"/>
      <c r="J70" s="928"/>
      <c r="K70" s="928"/>
      <c r="L70" s="241"/>
    </row>
    <row r="71" spans="1:20" s="244" customFormat="1" ht="22.5" customHeight="1">
      <c r="A71" s="750" t="s">
        <v>85</v>
      </c>
      <c r="B71" s="945" t="s">
        <v>2203</v>
      </c>
      <c r="C71" s="992" t="s">
        <v>2204</v>
      </c>
      <c r="D71" s="993" t="s">
        <v>46</v>
      </c>
      <c r="E71" s="1077">
        <f>SUM(D72)</f>
        <v>26.325</v>
      </c>
      <c r="F71" s="1077"/>
      <c r="G71" s="781">
        <f>E71*F71</f>
        <v>0</v>
      </c>
      <c r="H71" s="242">
        <v>0</v>
      </c>
      <c r="I71" s="242">
        <f>E71*H71</f>
        <v>0</v>
      </c>
      <c r="J71" s="769">
        <v>0.017</v>
      </c>
      <c r="K71" s="769">
        <f>E71*J71</f>
        <v>0.447525</v>
      </c>
      <c r="L71" s="243"/>
      <c r="M71" s="243"/>
      <c r="N71" s="405"/>
      <c r="O71" s="406"/>
      <c r="P71" s="406"/>
      <c r="Q71" s="406"/>
      <c r="R71" s="406"/>
      <c r="S71" s="406"/>
      <c r="T71" s="406"/>
    </row>
    <row r="72" spans="1:20" s="251" customFormat="1" ht="15" customHeight="1">
      <c r="A72" s="750"/>
      <c r="B72" s="995"/>
      <c r="C72" s="996" t="s">
        <v>2207</v>
      </c>
      <c r="D72" s="997">
        <f>210.6*0.125</f>
        <v>26.325</v>
      </c>
      <c r="E72" s="1076"/>
      <c r="F72" s="1076"/>
      <c r="G72" s="866"/>
      <c r="H72" s="407"/>
      <c r="I72" s="407"/>
      <c r="J72" s="927"/>
      <c r="K72" s="769"/>
      <c r="L72" s="408"/>
      <c r="M72" s="408"/>
      <c r="N72" s="409"/>
      <c r="O72" s="410"/>
      <c r="P72" s="410"/>
      <c r="Q72" s="410"/>
      <c r="R72" s="410"/>
      <c r="S72" s="410"/>
      <c r="T72" s="410"/>
    </row>
    <row r="73" spans="1:20" s="244" customFormat="1" ht="29.25" customHeight="1">
      <c r="A73" s="750" t="s">
        <v>89</v>
      </c>
      <c r="B73" s="945">
        <v>978019341</v>
      </c>
      <c r="C73" s="992" t="s">
        <v>2208</v>
      </c>
      <c r="D73" s="993" t="s">
        <v>46</v>
      </c>
      <c r="E73" s="1077">
        <f>SUM(D74)</f>
        <v>769</v>
      </c>
      <c r="F73" s="1077"/>
      <c r="G73" s="781">
        <f>E73*F73</f>
        <v>0</v>
      </c>
      <c r="H73" s="242">
        <v>0</v>
      </c>
      <c r="I73" s="242">
        <f>E73*H73</f>
        <v>0</v>
      </c>
      <c r="J73" s="769">
        <v>0.022</v>
      </c>
      <c r="K73" s="769">
        <f>E73*J73</f>
        <v>16.918</v>
      </c>
      <c r="L73" s="243"/>
      <c r="M73" s="243"/>
      <c r="N73" s="405"/>
      <c r="O73" s="406"/>
      <c r="P73" s="406"/>
      <c r="Q73" s="406"/>
      <c r="R73" s="406"/>
      <c r="S73" s="406"/>
      <c r="T73" s="406"/>
    </row>
    <row r="74" spans="1:20" s="251" customFormat="1" ht="15" customHeight="1">
      <c r="A74" s="750"/>
      <c r="B74" s="995"/>
      <c r="C74" s="996" t="s">
        <v>2260</v>
      </c>
      <c r="D74" s="997">
        <f>16.5*4.5+29.6+216.2+203.5+284.3+118.5-157.3-0.05</f>
        <v>769</v>
      </c>
      <c r="E74" s="1076"/>
      <c r="F74" s="1076"/>
      <c r="G74" s="866"/>
      <c r="H74" s="407"/>
      <c r="I74" s="407"/>
      <c r="J74" s="927"/>
      <c r="K74" s="769"/>
      <c r="L74" s="408"/>
      <c r="M74" s="408"/>
      <c r="N74" s="409"/>
      <c r="O74" s="410"/>
      <c r="P74" s="410"/>
      <c r="Q74" s="410"/>
      <c r="R74" s="410"/>
      <c r="S74" s="410"/>
      <c r="T74" s="410"/>
    </row>
    <row r="75" spans="1:20" s="244" customFormat="1" ht="22.5" customHeight="1">
      <c r="A75" s="750" t="s">
        <v>91</v>
      </c>
      <c r="B75" s="945" t="s">
        <v>2205</v>
      </c>
      <c r="C75" s="992" t="s">
        <v>2206</v>
      </c>
      <c r="D75" s="993" t="s">
        <v>46</v>
      </c>
      <c r="E75" s="1077">
        <f>SUM(D76)</f>
        <v>58.599999999999994</v>
      </c>
      <c r="F75" s="1077"/>
      <c r="G75" s="781">
        <f>E75*F75</f>
        <v>0</v>
      </c>
      <c r="H75" s="242">
        <v>0</v>
      </c>
      <c r="I75" s="242">
        <f>E75*H75</f>
        <v>0</v>
      </c>
      <c r="J75" s="769">
        <v>0.016</v>
      </c>
      <c r="K75" s="769">
        <f>E75*J75</f>
        <v>0.9375999999999999</v>
      </c>
      <c r="L75" s="243"/>
      <c r="M75" s="243"/>
      <c r="N75" s="405"/>
      <c r="O75" s="406"/>
      <c r="P75" s="406"/>
      <c r="Q75" s="406"/>
      <c r="R75" s="406"/>
      <c r="S75" s="406"/>
      <c r="T75" s="406"/>
    </row>
    <row r="76" spans="1:20" s="251" customFormat="1" ht="15" customHeight="1">
      <c r="A76" s="750"/>
      <c r="B76" s="995"/>
      <c r="C76" s="996" t="s">
        <v>2382</v>
      </c>
      <c r="D76" s="997">
        <f>4.1+6.1+16.6+8+23.8</f>
        <v>58.599999999999994</v>
      </c>
      <c r="E76" s="1076"/>
      <c r="F76" s="1076"/>
      <c r="G76" s="866"/>
      <c r="H76" s="407"/>
      <c r="I76" s="407"/>
      <c r="J76" s="927"/>
      <c r="K76" s="769"/>
      <c r="L76" s="408"/>
      <c r="M76" s="408"/>
      <c r="N76" s="409"/>
      <c r="O76" s="410"/>
      <c r="P76" s="410"/>
      <c r="Q76" s="410"/>
      <c r="R76" s="410"/>
      <c r="S76" s="410"/>
      <c r="T76" s="410"/>
    </row>
    <row r="77" spans="1:12" s="271" customFormat="1" ht="27" customHeight="1">
      <c r="A77" s="750" t="s">
        <v>93</v>
      </c>
      <c r="B77" s="620" t="s">
        <v>2209</v>
      </c>
      <c r="C77" s="1079" t="s">
        <v>2210</v>
      </c>
      <c r="D77" s="1080" t="s">
        <v>46</v>
      </c>
      <c r="E77" s="621">
        <f>SUM(D78)</f>
        <v>208.29999999999998</v>
      </c>
      <c r="F77" s="621"/>
      <c r="G77" s="1081">
        <f>$E77*F77</f>
        <v>0</v>
      </c>
      <c r="H77" s="615">
        <v>0</v>
      </c>
      <c r="I77" s="622"/>
      <c r="J77" s="615">
        <v>0.01</v>
      </c>
      <c r="K77" s="673">
        <f>E77*J77</f>
        <v>2.0829999999999997</v>
      </c>
      <c r="L77" s="622"/>
    </row>
    <row r="78" spans="1:12" s="595" customFormat="1" ht="18" customHeight="1">
      <c r="A78" s="1082"/>
      <c r="B78" s="1083"/>
      <c r="C78" s="1084" t="s">
        <v>2211</v>
      </c>
      <c r="D78" s="1085">
        <f>16.4*12.7+0.02</f>
        <v>208.29999999999998</v>
      </c>
      <c r="E78" s="1086"/>
      <c r="F78" s="1086"/>
      <c r="G78" s="1087"/>
      <c r="H78" s="922"/>
      <c r="I78" s="922"/>
      <c r="J78" s="929"/>
      <c r="K78" s="929"/>
      <c r="L78" s="922"/>
    </row>
    <row r="79" spans="1:12" s="271" customFormat="1" ht="27" customHeight="1">
      <c r="A79" s="1088" t="s">
        <v>95</v>
      </c>
      <c r="B79" s="1089" t="s">
        <v>2254</v>
      </c>
      <c r="C79" s="1090" t="s">
        <v>2255</v>
      </c>
      <c r="D79" s="1091" t="s">
        <v>46</v>
      </c>
      <c r="E79" s="1092">
        <f>SUM(D80)</f>
        <v>45.5</v>
      </c>
      <c r="F79" s="1092"/>
      <c r="G79" s="1093">
        <f>$E79*F79</f>
        <v>0</v>
      </c>
      <c r="H79" s="615">
        <v>0</v>
      </c>
      <c r="I79" s="622"/>
      <c r="J79" s="615">
        <v>0.045</v>
      </c>
      <c r="K79" s="673">
        <f>E79*J79</f>
        <v>2.0475</v>
      </c>
      <c r="L79" s="622"/>
    </row>
    <row r="80" spans="1:12" s="595" customFormat="1" ht="18" customHeight="1">
      <c r="A80" s="1094"/>
      <c r="B80" s="1095"/>
      <c r="C80" s="1096">
        <v>45.5</v>
      </c>
      <c r="D80" s="1097">
        <v>45.5</v>
      </c>
      <c r="E80" s="1098"/>
      <c r="F80" s="1098"/>
      <c r="G80" s="1099"/>
      <c r="H80" s="922"/>
      <c r="I80" s="922"/>
      <c r="J80" s="929"/>
      <c r="K80" s="929"/>
      <c r="L80" s="922"/>
    </row>
    <row r="81" spans="1:12" s="251" customFormat="1" ht="11.25" customHeight="1">
      <c r="A81" s="1100"/>
      <c r="B81" s="1101"/>
      <c r="C81" s="1102"/>
      <c r="D81" s="1103"/>
      <c r="E81" s="1104"/>
      <c r="F81" s="1104"/>
      <c r="G81" s="1105"/>
      <c r="H81" s="249"/>
      <c r="I81" s="250"/>
      <c r="J81" s="724"/>
      <c r="K81" s="724"/>
      <c r="L81" s="250"/>
    </row>
    <row r="82" spans="1:20" s="244" customFormat="1" ht="22.5" customHeight="1">
      <c r="A82" s="1100" t="s">
        <v>103</v>
      </c>
      <c r="B82" s="1106" t="s">
        <v>71</v>
      </c>
      <c r="C82" s="1107" t="s">
        <v>72</v>
      </c>
      <c r="D82" s="1108" t="s">
        <v>73</v>
      </c>
      <c r="E82" s="1109">
        <f>I82+K82</f>
        <v>105.19805000000002</v>
      </c>
      <c r="F82" s="1109"/>
      <c r="G82" s="1110">
        <f>E82*F82</f>
        <v>0</v>
      </c>
      <c r="H82" s="242"/>
      <c r="I82" s="919">
        <f>K77+K248</f>
        <v>2.5049449999999998</v>
      </c>
      <c r="J82" s="769"/>
      <c r="K82" s="930">
        <f>SUM(K38:K81)</f>
        <v>102.69310500000002</v>
      </c>
      <c r="L82" s="243"/>
      <c r="M82" s="243"/>
      <c r="N82" s="405"/>
      <c r="O82" s="406"/>
      <c r="P82" s="406"/>
      <c r="Q82" s="406"/>
      <c r="R82" s="406"/>
      <c r="S82" s="406"/>
      <c r="T82" s="406"/>
    </row>
    <row r="83" spans="1:20" s="244" customFormat="1" ht="29.25" customHeight="1">
      <c r="A83" s="1100" t="s">
        <v>107</v>
      </c>
      <c r="B83" s="1106" t="s">
        <v>75</v>
      </c>
      <c r="C83" s="1107" t="s">
        <v>76</v>
      </c>
      <c r="D83" s="1108" t="s">
        <v>73</v>
      </c>
      <c r="E83" s="1109">
        <f>E82</f>
        <v>105.19805000000002</v>
      </c>
      <c r="F83" s="1109"/>
      <c r="G83" s="1110">
        <f>E83*F83</f>
        <v>0</v>
      </c>
      <c r="H83" s="242"/>
      <c r="I83" s="242"/>
      <c r="J83" s="769"/>
      <c r="K83" s="769"/>
      <c r="L83" s="243"/>
      <c r="M83" s="243"/>
      <c r="N83" s="405"/>
      <c r="O83" s="406"/>
      <c r="P83" s="406"/>
      <c r="Q83" s="406"/>
      <c r="R83" s="406"/>
      <c r="S83" s="406"/>
      <c r="T83" s="406"/>
    </row>
    <row r="84" spans="1:20" s="244" customFormat="1" ht="29.25" customHeight="1">
      <c r="A84" s="1100" t="s">
        <v>1358</v>
      </c>
      <c r="B84" s="1106" t="s">
        <v>78</v>
      </c>
      <c r="C84" s="1107" t="s">
        <v>79</v>
      </c>
      <c r="D84" s="1108" t="s">
        <v>73</v>
      </c>
      <c r="E84" s="1109">
        <f>E82*10</f>
        <v>1051.9805000000001</v>
      </c>
      <c r="F84" s="1109"/>
      <c r="G84" s="1110">
        <f>E84*F84</f>
        <v>0</v>
      </c>
      <c r="H84" s="242"/>
      <c r="I84" s="242"/>
      <c r="J84" s="769"/>
      <c r="K84" s="769"/>
      <c r="L84" s="243"/>
      <c r="M84" s="243"/>
      <c r="N84" s="405"/>
      <c r="O84" s="406"/>
      <c r="P84" s="406"/>
      <c r="Q84" s="406"/>
      <c r="R84" s="406"/>
      <c r="S84" s="406"/>
      <c r="T84" s="406"/>
    </row>
    <row r="85" spans="1:20" s="204" customFormat="1" ht="29.25" customHeight="1">
      <c r="A85" s="1100" t="s">
        <v>1359</v>
      </c>
      <c r="B85" s="1106">
        <v>997221861</v>
      </c>
      <c r="C85" s="1111" t="s">
        <v>1052</v>
      </c>
      <c r="D85" s="1112" t="s">
        <v>73</v>
      </c>
      <c r="E85" s="1113">
        <f>K61+K79</f>
        <v>24.817500000000006</v>
      </c>
      <c r="F85" s="1113"/>
      <c r="G85" s="1110">
        <f>E85*F85</f>
        <v>0</v>
      </c>
      <c r="H85" s="85"/>
      <c r="I85" s="85"/>
      <c r="J85" s="861"/>
      <c r="K85" s="861"/>
      <c r="L85" s="85"/>
      <c r="M85" s="85"/>
      <c r="N85" s="202"/>
      <c r="O85" s="794"/>
      <c r="P85" s="806"/>
      <c r="Q85" s="806"/>
      <c r="R85" s="808"/>
      <c r="S85" s="203"/>
      <c r="T85" s="203"/>
    </row>
    <row r="86" spans="1:20" s="244" customFormat="1" ht="29.25" customHeight="1">
      <c r="A86" s="1100" t="s">
        <v>1360</v>
      </c>
      <c r="B86" s="1106">
        <v>997013862</v>
      </c>
      <c r="C86" s="1107" t="s">
        <v>81</v>
      </c>
      <c r="D86" s="1108" t="s">
        <v>73</v>
      </c>
      <c r="E86" s="1109">
        <f>K59+K63+K65</f>
        <v>17.6048</v>
      </c>
      <c r="F86" s="1109"/>
      <c r="G86" s="1110">
        <f>E86*F86</f>
        <v>0</v>
      </c>
      <c r="H86" s="242"/>
      <c r="I86" s="242"/>
      <c r="J86" s="243"/>
      <c r="K86" s="243"/>
      <c r="L86" s="243"/>
      <c r="M86" s="243"/>
      <c r="N86" s="405"/>
      <c r="O86" s="406"/>
      <c r="P86" s="406"/>
      <c r="Q86" s="406"/>
      <c r="R86" s="406"/>
      <c r="S86" s="406"/>
      <c r="T86" s="406"/>
    </row>
    <row r="87" spans="1:20" s="244" customFormat="1" ht="29.25" customHeight="1">
      <c r="A87" s="1100" t="s">
        <v>1361</v>
      </c>
      <c r="B87" s="1106">
        <v>997013863</v>
      </c>
      <c r="C87" s="1107" t="s">
        <v>83</v>
      </c>
      <c r="D87" s="1108" t="s">
        <v>73</v>
      </c>
      <c r="E87" s="1109">
        <f>K71+K73+K75</f>
        <v>18.303124999999998</v>
      </c>
      <c r="F87" s="1109"/>
      <c r="G87" s="1110">
        <f>$E87*F87</f>
        <v>0</v>
      </c>
      <c r="H87" s="242"/>
      <c r="I87" s="242"/>
      <c r="J87" s="243"/>
      <c r="K87" s="243"/>
      <c r="L87" s="243"/>
      <c r="M87" s="243"/>
      <c r="N87" s="405"/>
      <c r="O87" s="406"/>
      <c r="P87" s="406"/>
      <c r="Q87" s="406"/>
      <c r="R87" s="406"/>
      <c r="S87" s="406"/>
      <c r="T87" s="406"/>
    </row>
    <row r="88" spans="1:20" s="204" customFormat="1" ht="34.5" customHeight="1">
      <c r="A88" s="1100" t="s">
        <v>1362</v>
      </c>
      <c r="B88" s="1114" t="s">
        <v>1043</v>
      </c>
      <c r="C88" s="1115" t="s">
        <v>1044</v>
      </c>
      <c r="D88" s="1116" t="s">
        <v>73</v>
      </c>
      <c r="E88" s="1117">
        <f>K43+K45+K47+K49+K50+K52+I82</f>
        <v>6.639624999999999</v>
      </c>
      <c r="F88" s="1113"/>
      <c r="G88" s="1110">
        <f>E88*F88</f>
        <v>0</v>
      </c>
      <c r="H88" s="85"/>
      <c r="I88" s="85"/>
      <c r="J88" s="201"/>
      <c r="K88" s="201"/>
      <c r="L88" s="85"/>
      <c r="M88" s="85"/>
      <c r="N88" s="202"/>
      <c r="O88" s="203"/>
      <c r="P88" s="203"/>
      <c r="Q88" s="203"/>
      <c r="R88" s="203"/>
      <c r="S88" s="203"/>
      <c r="T88" s="203"/>
    </row>
    <row r="89" spans="1:20" s="204" customFormat="1" ht="34.5" customHeight="1">
      <c r="A89" s="1100" t="s">
        <v>1363</v>
      </c>
      <c r="B89" s="1114">
        <v>997013847</v>
      </c>
      <c r="C89" s="1115" t="s">
        <v>2116</v>
      </c>
      <c r="D89" s="1116" t="s">
        <v>73</v>
      </c>
      <c r="E89" s="1117">
        <f>K77</f>
        <v>2.0829999999999997</v>
      </c>
      <c r="F89" s="1113"/>
      <c r="G89" s="1110">
        <f>E89*F89</f>
        <v>0</v>
      </c>
      <c r="H89" s="217"/>
      <c r="I89" s="217"/>
      <c r="J89" s="201"/>
      <c r="K89" s="216"/>
      <c r="L89" s="85"/>
      <c r="M89" s="85"/>
      <c r="N89" s="202"/>
      <c r="O89" s="203"/>
      <c r="P89" s="203"/>
      <c r="Q89" s="203"/>
      <c r="R89" s="203"/>
      <c r="S89" s="203"/>
      <c r="T89" s="203"/>
    </row>
    <row r="90" spans="1:20" s="244" customFormat="1" ht="30.75" customHeight="1">
      <c r="A90" s="1100" t="s">
        <v>1364</v>
      </c>
      <c r="B90" s="1106">
        <v>997013631</v>
      </c>
      <c r="C90" s="1107" t="s">
        <v>259</v>
      </c>
      <c r="D90" s="1108" t="s">
        <v>73</v>
      </c>
      <c r="E90" s="1109">
        <f>K67+K55+K57</f>
        <v>35.75</v>
      </c>
      <c r="F90" s="1109"/>
      <c r="G90" s="1110">
        <f>E90*F90</f>
        <v>0</v>
      </c>
      <c r="H90" s="242"/>
      <c r="I90" s="242"/>
      <c r="J90" s="243"/>
      <c r="K90" s="243"/>
      <c r="L90" s="243"/>
      <c r="M90" s="243"/>
      <c r="N90" s="405"/>
      <c r="O90" s="406"/>
      <c r="P90" s="406"/>
      <c r="Q90" s="406"/>
      <c r="R90" s="406"/>
      <c r="S90" s="406"/>
      <c r="T90" s="406"/>
    </row>
    <row r="91" spans="1:7" ht="14" thickBot="1">
      <c r="A91" s="1118"/>
      <c r="B91" s="1119"/>
      <c r="C91" s="1120"/>
      <c r="D91" s="1121"/>
      <c r="E91" s="1122"/>
      <c r="F91" s="1123"/>
      <c r="G91" s="1124"/>
    </row>
    <row r="92" spans="1:7" ht="19.5" customHeight="1" thickBot="1">
      <c r="A92" s="225"/>
      <c r="B92" s="226"/>
      <c r="C92" s="227" t="s">
        <v>113</v>
      </c>
      <c r="D92" s="226"/>
      <c r="E92" s="416"/>
      <c r="F92" s="417"/>
      <c r="G92" s="230">
        <f>SUBTOTAL(9,G38:G91)</f>
        <v>0</v>
      </c>
    </row>
    <row r="93" spans="1:7" ht="13" thickBot="1">
      <c r="A93" s="179"/>
      <c r="B93" s="180"/>
      <c r="C93" s="180"/>
      <c r="D93" s="180"/>
      <c r="E93" s="180"/>
      <c r="F93" s="180"/>
      <c r="G93" s="396"/>
    </row>
    <row r="94" spans="1:7" ht="17.25" customHeight="1" thickBot="1">
      <c r="A94" s="182" t="s">
        <v>100</v>
      </c>
      <c r="B94" s="183">
        <v>3</v>
      </c>
      <c r="C94" s="184" t="s">
        <v>2405</v>
      </c>
      <c r="D94" s="397"/>
      <c r="E94" s="398"/>
      <c r="F94" s="187"/>
      <c r="G94" s="399"/>
    </row>
    <row r="95" spans="1:11" ht="12.75">
      <c r="A95" s="189"/>
      <c r="B95" s="400"/>
      <c r="C95" s="232"/>
      <c r="D95" s="233"/>
      <c r="E95" s="401"/>
      <c r="F95" s="402"/>
      <c r="G95" s="403"/>
      <c r="J95" s="624"/>
      <c r="K95" s="624"/>
    </row>
    <row r="96" spans="1:20" s="204" customFormat="1" ht="29.25" customHeight="1">
      <c r="A96" s="1100" t="s">
        <v>115</v>
      </c>
      <c r="B96" s="1106">
        <v>319202214</v>
      </c>
      <c r="C96" s="1111" t="s">
        <v>1403</v>
      </c>
      <c r="D96" s="1112" t="s">
        <v>116</v>
      </c>
      <c r="E96" s="1113">
        <v>142.5</v>
      </c>
      <c r="F96" s="1113"/>
      <c r="G96" s="1110">
        <f>E96*F96</f>
        <v>0</v>
      </c>
      <c r="H96" s="201">
        <v>0.00122</v>
      </c>
      <c r="I96" s="201">
        <f>E96*H96</f>
        <v>0.17385</v>
      </c>
      <c r="J96" s="85">
        <v>4E-05</v>
      </c>
      <c r="K96" s="85">
        <f>E96*J96</f>
        <v>0.0057</v>
      </c>
      <c r="L96" s="85"/>
      <c r="M96" s="85"/>
      <c r="N96" s="202"/>
      <c r="O96" s="203"/>
      <c r="P96" s="203"/>
      <c r="Q96" s="203"/>
      <c r="R96" s="203"/>
      <c r="S96" s="203"/>
      <c r="T96" s="203"/>
    </row>
    <row r="97" spans="1:20" s="204" customFormat="1" ht="29.25" customHeight="1">
      <c r="A97" s="1100" t="s">
        <v>117</v>
      </c>
      <c r="B97" s="1106">
        <v>311272311</v>
      </c>
      <c r="C97" s="1111" t="s">
        <v>2447</v>
      </c>
      <c r="D97" s="1112" t="s">
        <v>46</v>
      </c>
      <c r="E97" s="1113">
        <f>SUM(D98)</f>
        <v>1.45</v>
      </c>
      <c r="F97" s="1113"/>
      <c r="G97" s="1110">
        <f>E97*F97</f>
        <v>0</v>
      </c>
      <c r="H97" s="201">
        <v>0.18105</v>
      </c>
      <c r="I97" s="201">
        <f>E97*H97</f>
        <v>0.2625225</v>
      </c>
      <c r="J97" s="85">
        <v>4E-05</v>
      </c>
      <c r="K97" s="85">
        <f>E97*J97</f>
        <v>5.8E-05</v>
      </c>
      <c r="L97" s="85"/>
      <c r="M97" s="85"/>
      <c r="N97" s="202"/>
      <c r="O97" s="203"/>
      <c r="P97" s="203"/>
      <c r="Q97" s="203"/>
      <c r="R97" s="203"/>
      <c r="S97" s="203"/>
      <c r="T97" s="203"/>
    </row>
    <row r="98" spans="1:20" s="596" customFormat="1" ht="18" customHeight="1">
      <c r="A98" s="1125"/>
      <c r="B98" s="1126"/>
      <c r="C98" s="1127" t="s">
        <v>2448</v>
      </c>
      <c r="D98" s="1128">
        <f>0.5*2.9</f>
        <v>1.45</v>
      </c>
      <c r="E98" s="1129"/>
      <c r="F98" s="1129"/>
      <c r="G98" s="1130"/>
      <c r="H98" s="592"/>
      <c r="I98" s="592"/>
      <c r="J98" s="593"/>
      <c r="K98" s="593"/>
      <c r="L98" s="593"/>
      <c r="M98" s="593"/>
      <c r="N98" s="594"/>
      <c r="O98" s="595"/>
      <c r="P98" s="595"/>
      <c r="Q98" s="595"/>
      <c r="R98" s="595"/>
      <c r="S98" s="595"/>
      <c r="T98" s="595"/>
    </row>
    <row r="99" spans="1:20" s="204" customFormat="1" ht="19.5" customHeight="1">
      <c r="A99" s="1100" t="s">
        <v>119</v>
      </c>
      <c r="B99" s="1106" t="s">
        <v>2449</v>
      </c>
      <c r="C99" s="1111" t="s">
        <v>2450</v>
      </c>
      <c r="D99" s="1112" t="s">
        <v>46</v>
      </c>
      <c r="E99" s="1113">
        <v>9</v>
      </c>
      <c r="F99" s="1113"/>
      <c r="G99" s="1110">
        <f>E99*F99</f>
        <v>0</v>
      </c>
      <c r="H99" s="201"/>
      <c r="I99" s="201"/>
      <c r="J99" s="85"/>
      <c r="K99" s="85"/>
      <c r="L99" s="85"/>
      <c r="M99" s="85"/>
      <c r="N99" s="202"/>
      <c r="O99" s="203"/>
      <c r="P99" s="203"/>
      <c r="Q99" s="203"/>
      <c r="R99" s="203"/>
      <c r="S99" s="203"/>
      <c r="T99" s="203"/>
    </row>
    <row r="100" spans="1:20" s="204" customFormat="1" ht="23.25" customHeight="1">
      <c r="A100" s="1100" t="s">
        <v>295</v>
      </c>
      <c r="B100" s="1106">
        <v>622142001</v>
      </c>
      <c r="C100" s="1111" t="s">
        <v>2241</v>
      </c>
      <c r="D100" s="1112" t="s">
        <v>46</v>
      </c>
      <c r="E100" s="1113">
        <v>12.6</v>
      </c>
      <c r="F100" s="1113"/>
      <c r="G100" s="1110">
        <f>E100*F100</f>
        <v>0</v>
      </c>
      <c r="H100" s="201">
        <v>0.00438</v>
      </c>
      <c r="I100" s="201">
        <f>E100*H100</f>
        <v>0.055188</v>
      </c>
      <c r="J100" s="85">
        <v>0</v>
      </c>
      <c r="K100" s="85">
        <f>E100*J100</f>
        <v>0</v>
      </c>
      <c r="L100" s="85"/>
      <c r="M100" s="85"/>
      <c r="N100" s="202"/>
      <c r="O100" s="203"/>
      <c r="P100" s="203"/>
      <c r="Q100" s="203"/>
      <c r="R100" s="203"/>
      <c r="S100" s="203"/>
      <c r="T100" s="203"/>
    </row>
    <row r="101" spans="1:12" s="244" customFormat="1" ht="13.5" customHeight="1">
      <c r="A101" s="1100"/>
      <c r="B101" s="1131"/>
      <c r="C101" s="1132"/>
      <c r="D101" s="1106"/>
      <c r="E101" s="1133"/>
      <c r="F101" s="1133"/>
      <c r="G101" s="1134"/>
      <c r="H101" s="241"/>
      <c r="I101" s="241"/>
      <c r="J101" s="241"/>
      <c r="K101" s="241"/>
      <c r="L101" s="241"/>
    </row>
    <row r="102" spans="1:12" s="271" customFormat="1" ht="26.25" customHeight="1">
      <c r="A102" s="1100" t="s">
        <v>299</v>
      </c>
      <c r="B102" s="1135" t="s">
        <v>2247</v>
      </c>
      <c r="C102" s="1136" t="s">
        <v>2248</v>
      </c>
      <c r="D102" s="1137" t="s">
        <v>46</v>
      </c>
      <c r="E102" s="1138">
        <f>E75</f>
        <v>58.599999999999994</v>
      </c>
      <c r="F102" s="1138"/>
      <c r="G102" s="1139">
        <f>$E102*F102</f>
        <v>0</v>
      </c>
      <c r="H102" s="615"/>
      <c r="I102" s="622"/>
      <c r="J102" s="615">
        <v>0</v>
      </c>
      <c r="K102" s="615">
        <f>E102*J102</f>
        <v>0</v>
      </c>
      <c r="L102" s="622"/>
    </row>
    <row r="103" spans="1:12" s="271" customFormat="1" ht="27" customHeight="1">
      <c r="A103" s="1140" t="s">
        <v>301</v>
      </c>
      <c r="B103" s="1141" t="s">
        <v>2256</v>
      </c>
      <c r="C103" s="1142" t="s">
        <v>2257</v>
      </c>
      <c r="D103" s="1143" t="s">
        <v>46</v>
      </c>
      <c r="E103" s="1144">
        <f>E102</f>
        <v>58.599999999999994</v>
      </c>
      <c r="F103" s="1144"/>
      <c r="G103" s="1145">
        <f>$E103*F103</f>
        <v>0</v>
      </c>
      <c r="H103" s="615"/>
      <c r="I103" s="622"/>
      <c r="J103" s="615">
        <v>0.0029</v>
      </c>
      <c r="K103" s="615">
        <f>E103*J103</f>
        <v>0.16993999999999998</v>
      </c>
      <c r="L103" s="622"/>
    </row>
    <row r="104" spans="1:12" s="244" customFormat="1" ht="21.75" customHeight="1">
      <c r="A104" s="1146" t="s">
        <v>304</v>
      </c>
      <c r="B104" s="1147">
        <v>711191011</v>
      </c>
      <c r="C104" s="1148" t="s">
        <v>1412</v>
      </c>
      <c r="D104" s="1147" t="s">
        <v>46</v>
      </c>
      <c r="E104" s="1149">
        <f>E102</f>
        <v>58.599999999999994</v>
      </c>
      <c r="F104" s="1149"/>
      <c r="G104" s="1145">
        <f>$E104*F104</f>
        <v>0</v>
      </c>
      <c r="H104" s="241"/>
      <c r="I104" s="241"/>
      <c r="J104" s="241"/>
      <c r="K104" s="241"/>
      <c r="L104" s="241"/>
    </row>
    <row r="105" spans="1:12" s="244" customFormat="1" ht="18.75" customHeight="1">
      <c r="A105" s="1146" t="s">
        <v>307</v>
      </c>
      <c r="B105" s="1150">
        <v>24551391</v>
      </c>
      <c r="C105" s="1148" t="s">
        <v>2258</v>
      </c>
      <c r="D105" s="1147" t="s">
        <v>181</v>
      </c>
      <c r="E105" s="1149">
        <f>E104*0.1265</f>
        <v>7.4129</v>
      </c>
      <c r="F105" s="1149"/>
      <c r="G105" s="1145">
        <f>$E105*F105</f>
        <v>0</v>
      </c>
      <c r="H105" s="241"/>
      <c r="I105" s="241"/>
      <c r="J105" s="241"/>
      <c r="K105" s="241"/>
      <c r="L105" s="241"/>
    </row>
    <row r="106" spans="1:12" s="244" customFormat="1" ht="19.5" customHeight="1">
      <c r="A106" s="1146" t="s">
        <v>310</v>
      </c>
      <c r="B106" s="1147" t="s">
        <v>2259</v>
      </c>
      <c r="C106" s="1151" t="s">
        <v>2037</v>
      </c>
      <c r="D106" s="1147" t="s">
        <v>46</v>
      </c>
      <c r="E106" s="1149">
        <f>E103</f>
        <v>58.599999999999994</v>
      </c>
      <c r="F106" s="1149"/>
      <c r="G106" s="1145">
        <f>$E106*F106</f>
        <v>0</v>
      </c>
      <c r="H106" s="241"/>
      <c r="I106" s="241"/>
      <c r="J106" s="241"/>
      <c r="K106" s="241"/>
      <c r="L106" s="241"/>
    </row>
    <row r="107" spans="1:12" s="244" customFormat="1" ht="13.5" customHeight="1">
      <c r="A107" s="1146"/>
      <c r="B107" s="1150"/>
      <c r="C107" s="1148"/>
      <c r="D107" s="1147"/>
      <c r="E107" s="1149"/>
      <c r="F107" s="1149"/>
      <c r="G107" s="1152"/>
      <c r="H107" s="241"/>
      <c r="I107" s="241"/>
      <c r="J107" s="241"/>
      <c r="K107" s="241"/>
      <c r="L107" s="241"/>
    </row>
    <row r="108" spans="1:12" s="271" customFormat="1" ht="26.25" customHeight="1">
      <c r="A108" s="1146" t="s">
        <v>311</v>
      </c>
      <c r="B108" s="1153">
        <v>622325203</v>
      </c>
      <c r="C108" s="932" t="s">
        <v>2246</v>
      </c>
      <c r="D108" s="1143" t="s">
        <v>46</v>
      </c>
      <c r="E108" s="974">
        <f>E73</f>
        <v>769</v>
      </c>
      <c r="F108" s="974"/>
      <c r="G108" s="1145">
        <f>$E108*F108</f>
        <v>0</v>
      </c>
      <c r="H108" s="615"/>
      <c r="I108" s="622"/>
      <c r="J108" s="615">
        <v>0.02109</v>
      </c>
      <c r="K108" s="615">
        <f>E108*J108</f>
        <v>16.21821</v>
      </c>
      <c r="L108" s="622"/>
    </row>
    <row r="109" spans="1:20" s="204" customFormat="1" ht="24" customHeight="1">
      <c r="A109" s="1146" t="s">
        <v>312</v>
      </c>
      <c r="B109" s="1147" t="s">
        <v>1437</v>
      </c>
      <c r="C109" s="1154" t="s">
        <v>1436</v>
      </c>
      <c r="D109" s="1155" t="s">
        <v>46</v>
      </c>
      <c r="E109" s="1156">
        <f>SUM(D110:D110)</f>
        <v>71</v>
      </c>
      <c r="F109" s="1156"/>
      <c r="G109" s="1157">
        <f>E109*F109</f>
        <v>0</v>
      </c>
      <c r="H109" s="201">
        <v>0</v>
      </c>
      <c r="I109" s="201">
        <f>E109*H109</f>
        <v>0</v>
      </c>
      <c r="J109" s="85">
        <v>0</v>
      </c>
      <c r="K109" s="85">
        <f>E109*J109</f>
        <v>0</v>
      </c>
      <c r="L109" s="85"/>
      <c r="M109" s="85"/>
      <c r="N109" s="202"/>
      <c r="O109" s="203"/>
      <c r="P109" s="203"/>
      <c r="Q109" s="203"/>
      <c r="R109" s="203"/>
      <c r="S109" s="203"/>
      <c r="T109" s="203"/>
    </row>
    <row r="110" spans="1:20" s="596" customFormat="1" ht="18" customHeight="1">
      <c r="A110" s="683"/>
      <c r="B110" s="1158"/>
      <c r="C110" s="1159" t="s">
        <v>2264</v>
      </c>
      <c r="D110" s="1160">
        <f>142*0.5</f>
        <v>71</v>
      </c>
      <c r="E110" s="1161"/>
      <c r="F110" s="1161"/>
      <c r="G110" s="1162"/>
      <c r="H110" s="592"/>
      <c r="I110" s="592"/>
      <c r="J110" s="593"/>
      <c r="K110" s="593"/>
      <c r="L110" s="593"/>
      <c r="M110" s="593"/>
      <c r="N110" s="594"/>
      <c r="O110" s="595"/>
      <c r="P110" s="595"/>
      <c r="Q110" s="595"/>
      <c r="R110" s="595"/>
      <c r="S110" s="595"/>
      <c r="T110" s="595"/>
    </row>
    <row r="111" spans="1:20" s="204" customFormat="1" ht="24" customHeight="1">
      <c r="A111" s="1146" t="s">
        <v>313</v>
      </c>
      <c r="B111" s="1147" t="s">
        <v>1411</v>
      </c>
      <c r="C111" s="1154" t="s">
        <v>1412</v>
      </c>
      <c r="D111" s="1155" t="s">
        <v>46</v>
      </c>
      <c r="E111" s="1156">
        <f>E109</f>
        <v>71</v>
      </c>
      <c r="F111" s="1156"/>
      <c r="G111" s="1157">
        <f aca="true" t="shared" si="3" ref="G111:G116">E111*F111</f>
        <v>0</v>
      </c>
      <c r="H111" s="201">
        <v>0</v>
      </c>
      <c r="I111" s="201">
        <f aca="true" t="shared" si="4" ref="I111:I116">E111*H111</f>
        <v>0</v>
      </c>
      <c r="J111" s="85">
        <v>0</v>
      </c>
      <c r="K111" s="85">
        <f aca="true" t="shared" si="5" ref="K111:K116">E111*J111</f>
        <v>0</v>
      </c>
      <c r="L111" s="85"/>
      <c r="M111" s="85"/>
      <c r="N111" s="202"/>
      <c r="O111" s="203"/>
      <c r="P111" s="203"/>
      <c r="Q111" s="203"/>
      <c r="R111" s="203"/>
      <c r="S111" s="203"/>
      <c r="T111" s="203"/>
    </row>
    <row r="112" spans="1:20" s="204" customFormat="1" ht="24" customHeight="1">
      <c r="A112" s="1146" t="s">
        <v>314</v>
      </c>
      <c r="B112" s="1147" t="s">
        <v>1413</v>
      </c>
      <c r="C112" s="1154" t="s">
        <v>1414</v>
      </c>
      <c r="D112" s="1155" t="s">
        <v>181</v>
      </c>
      <c r="E112" s="1156">
        <f>E111*0.127</f>
        <v>9.017</v>
      </c>
      <c r="F112" s="1156"/>
      <c r="G112" s="1157">
        <f t="shared" si="3"/>
        <v>0</v>
      </c>
      <c r="H112" s="201">
        <v>0</v>
      </c>
      <c r="I112" s="201">
        <f t="shared" si="4"/>
        <v>0</v>
      </c>
      <c r="J112" s="85">
        <v>0</v>
      </c>
      <c r="K112" s="85">
        <f t="shared" si="5"/>
        <v>0</v>
      </c>
      <c r="L112" s="85"/>
      <c r="M112" s="85"/>
      <c r="N112" s="202"/>
      <c r="O112" s="203"/>
      <c r="P112" s="203"/>
      <c r="Q112" s="203"/>
      <c r="R112" s="203"/>
      <c r="S112" s="203"/>
      <c r="T112" s="203"/>
    </row>
    <row r="113" spans="1:20" s="204" customFormat="1" ht="24" customHeight="1">
      <c r="A113" s="1146" t="s">
        <v>315</v>
      </c>
      <c r="B113" s="1147" t="s">
        <v>1415</v>
      </c>
      <c r="C113" s="1154" t="s">
        <v>1416</v>
      </c>
      <c r="D113" s="1155" t="s">
        <v>46</v>
      </c>
      <c r="E113" s="1156">
        <f>E111</f>
        <v>71</v>
      </c>
      <c r="F113" s="1156"/>
      <c r="G113" s="1157">
        <f t="shared" si="3"/>
        <v>0</v>
      </c>
      <c r="H113" s="201">
        <v>0</v>
      </c>
      <c r="I113" s="201">
        <f t="shared" si="4"/>
        <v>0</v>
      </c>
      <c r="J113" s="85">
        <v>0</v>
      </c>
      <c r="K113" s="85">
        <f t="shared" si="5"/>
        <v>0</v>
      </c>
      <c r="L113" s="85"/>
      <c r="M113" s="85"/>
      <c r="N113" s="202"/>
      <c r="O113" s="203"/>
      <c r="P113" s="203"/>
      <c r="Q113" s="203"/>
      <c r="R113" s="203"/>
      <c r="S113" s="203"/>
      <c r="T113" s="203"/>
    </row>
    <row r="114" spans="1:20" s="204" customFormat="1" ht="24" customHeight="1">
      <c r="A114" s="1146" t="s">
        <v>316</v>
      </c>
      <c r="B114" s="1147" t="s">
        <v>1417</v>
      </c>
      <c r="C114" s="1154" t="s">
        <v>1418</v>
      </c>
      <c r="D114" s="1155" t="s">
        <v>181</v>
      </c>
      <c r="E114" s="1156">
        <f>E113*1.5</f>
        <v>106.5</v>
      </c>
      <c r="F114" s="1156"/>
      <c r="G114" s="1157">
        <f t="shared" si="3"/>
        <v>0</v>
      </c>
      <c r="H114" s="201">
        <v>0.001</v>
      </c>
      <c r="I114" s="201">
        <f t="shared" si="4"/>
        <v>0.1065</v>
      </c>
      <c r="J114" s="85">
        <v>0</v>
      </c>
      <c r="K114" s="85">
        <f t="shared" si="5"/>
        <v>0</v>
      </c>
      <c r="L114" s="85"/>
      <c r="M114" s="85"/>
      <c r="N114" s="202"/>
      <c r="O114" s="203"/>
      <c r="P114" s="203"/>
      <c r="Q114" s="203"/>
      <c r="R114" s="203"/>
      <c r="S114" s="203"/>
      <c r="T114" s="203"/>
    </row>
    <row r="115" spans="1:20" s="204" customFormat="1" ht="24" customHeight="1">
      <c r="A115" s="1146" t="s">
        <v>317</v>
      </c>
      <c r="B115" s="1147" t="s">
        <v>1411</v>
      </c>
      <c r="C115" s="1154" t="s">
        <v>1454</v>
      </c>
      <c r="D115" s="1155" t="s">
        <v>46</v>
      </c>
      <c r="E115" s="1156">
        <f>E111</f>
        <v>71</v>
      </c>
      <c r="F115" s="1156"/>
      <c r="G115" s="1157">
        <f t="shared" si="3"/>
        <v>0</v>
      </c>
      <c r="H115" s="201">
        <v>0</v>
      </c>
      <c r="I115" s="201">
        <f t="shared" si="4"/>
        <v>0</v>
      </c>
      <c r="J115" s="85">
        <v>0</v>
      </c>
      <c r="K115" s="85">
        <f t="shared" si="5"/>
        <v>0</v>
      </c>
      <c r="L115" s="85"/>
      <c r="M115" s="85"/>
      <c r="N115" s="202"/>
      <c r="O115" s="203"/>
      <c r="P115" s="203"/>
      <c r="Q115" s="203"/>
      <c r="R115" s="203"/>
      <c r="S115" s="203"/>
      <c r="T115" s="203"/>
    </row>
    <row r="116" spans="1:20" s="204" customFormat="1" ht="24" customHeight="1">
      <c r="A116" s="1146" t="s">
        <v>318</v>
      </c>
      <c r="B116" s="1147" t="s">
        <v>1419</v>
      </c>
      <c r="C116" s="1154" t="s">
        <v>1420</v>
      </c>
      <c r="D116" s="1155" t="s">
        <v>181</v>
      </c>
      <c r="E116" s="1156">
        <f>E115*0.127</f>
        <v>9.017</v>
      </c>
      <c r="F116" s="1156"/>
      <c r="G116" s="1157">
        <f t="shared" si="3"/>
        <v>0</v>
      </c>
      <c r="H116" s="201">
        <v>0</v>
      </c>
      <c r="I116" s="201">
        <f t="shared" si="4"/>
        <v>0</v>
      </c>
      <c r="J116" s="85">
        <v>0</v>
      </c>
      <c r="K116" s="85">
        <f t="shared" si="5"/>
        <v>0</v>
      </c>
      <c r="L116" s="85"/>
      <c r="M116" s="85"/>
      <c r="N116" s="202"/>
      <c r="O116" s="203"/>
      <c r="P116" s="203"/>
      <c r="Q116" s="203"/>
      <c r="R116" s="203"/>
      <c r="S116" s="203"/>
      <c r="T116" s="203"/>
    </row>
    <row r="117" spans="1:12" s="271" customFormat="1" ht="26.25" customHeight="1">
      <c r="A117" s="1146" t="s">
        <v>401</v>
      </c>
      <c r="B117" s="1153" t="s">
        <v>2238</v>
      </c>
      <c r="C117" s="932" t="s">
        <v>2239</v>
      </c>
      <c r="D117" s="1143" t="s">
        <v>46</v>
      </c>
      <c r="E117" s="974">
        <f>E119</f>
        <v>869.6999999999999</v>
      </c>
      <c r="F117" s="974"/>
      <c r="G117" s="1145">
        <f>$E117*F117</f>
        <v>0</v>
      </c>
      <c r="H117" s="615"/>
      <c r="I117" s="622"/>
      <c r="J117" s="615">
        <v>0.00026</v>
      </c>
      <c r="K117" s="615">
        <f>E117*J117</f>
        <v>0.22612199999999996</v>
      </c>
      <c r="L117" s="622"/>
    </row>
    <row r="118" spans="1:12" s="271" customFormat="1" ht="14.25" customHeight="1">
      <c r="A118" s="1146"/>
      <c r="B118" s="1153"/>
      <c r="C118" s="932"/>
      <c r="D118" s="1143"/>
      <c r="E118" s="974"/>
      <c r="F118" s="974"/>
      <c r="G118" s="1145"/>
      <c r="H118" s="615"/>
      <c r="I118" s="622"/>
      <c r="J118" s="615"/>
      <c r="K118" s="615"/>
      <c r="L118" s="622"/>
    </row>
    <row r="119" spans="1:12" s="271" customFormat="1" ht="26.25" customHeight="1">
      <c r="A119" s="1146" t="s">
        <v>402</v>
      </c>
      <c r="B119" s="1153" t="s">
        <v>2242</v>
      </c>
      <c r="C119" s="932" t="s">
        <v>2243</v>
      </c>
      <c r="D119" s="1143" t="s">
        <v>46</v>
      </c>
      <c r="E119" s="974">
        <f>SUM(D120)</f>
        <v>869.6999999999999</v>
      </c>
      <c r="F119" s="974"/>
      <c r="G119" s="1145">
        <f>$E119*F119</f>
        <v>0</v>
      </c>
      <c r="H119" s="615"/>
      <c r="I119" s="622"/>
      <c r="J119" s="615">
        <v>0.0086</v>
      </c>
      <c r="K119" s="615">
        <f>E119*J119</f>
        <v>7.479419999999999</v>
      </c>
      <c r="L119" s="622"/>
    </row>
    <row r="120" spans="1:20" s="596" customFormat="1" ht="21.75" customHeight="1">
      <c r="A120" s="933"/>
      <c r="B120" s="1163"/>
      <c r="C120" s="934" t="s">
        <v>2261</v>
      </c>
      <c r="D120" s="873">
        <f>769+75.4+25.3</f>
        <v>869.6999999999999</v>
      </c>
      <c r="E120" s="1164"/>
      <c r="F120" s="1165"/>
      <c r="G120" s="1166"/>
      <c r="H120" s="593"/>
      <c r="I120" s="593"/>
      <c r="J120" s="592"/>
      <c r="K120" s="615"/>
      <c r="L120" s="593"/>
      <c r="M120" s="593"/>
      <c r="N120" s="594"/>
      <c r="O120" s="794"/>
      <c r="P120" s="806"/>
      <c r="Q120" s="806"/>
      <c r="R120" s="814"/>
      <c r="S120" s="595"/>
      <c r="T120" s="595"/>
    </row>
    <row r="121" spans="1:12" s="271" customFormat="1" ht="26.25" customHeight="1">
      <c r="A121" s="1167" t="s">
        <v>403</v>
      </c>
      <c r="B121" s="1168">
        <v>28376445</v>
      </c>
      <c r="C121" s="1169" t="s">
        <v>2383</v>
      </c>
      <c r="D121" s="1170" t="s">
        <v>46</v>
      </c>
      <c r="E121" s="1171">
        <f>SUM(D122)</f>
        <v>40.004000000000005</v>
      </c>
      <c r="F121" s="1171"/>
      <c r="G121" s="1172">
        <f>$E121*F121</f>
        <v>0</v>
      </c>
      <c r="H121" s="615"/>
      <c r="I121" s="622"/>
      <c r="J121" s="615">
        <v>0.0042</v>
      </c>
      <c r="K121" s="615">
        <f>E121*J121</f>
        <v>0.16801680000000002</v>
      </c>
      <c r="L121" s="622"/>
    </row>
    <row r="122" spans="1:20" s="596" customFormat="1" ht="21.75" customHeight="1">
      <c r="A122" s="933"/>
      <c r="B122" s="1163"/>
      <c r="C122" s="934" t="s">
        <v>2384</v>
      </c>
      <c r="D122" s="873">
        <f>(39.2)*1.02+0.02</f>
        <v>40.004000000000005</v>
      </c>
      <c r="E122" s="1164"/>
      <c r="F122" s="1165"/>
      <c r="G122" s="1166"/>
      <c r="H122" s="593"/>
      <c r="I122" s="593"/>
      <c r="J122" s="592"/>
      <c r="K122" s="615"/>
      <c r="L122" s="593"/>
      <c r="M122" s="593"/>
      <c r="N122" s="594"/>
      <c r="O122" s="794"/>
      <c r="P122" s="806"/>
      <c r="Q122" s="806"/>
      <c r="R122" s="814"/>
      <c r="S122" s="595"/>
      <c r="T122" s="595"/>
    </row>
    <row r="123" spans="1:12" s="271" customFormat="1" ht="26.25" customHeight="1">
      <c r="A123" s="1167" t="s">
        <v>404</v>
      </c>
      <c r="B123" s="1168" t="s">
        <v>2245</v>
      </c>
      <c r="C123" s="1169" t="s">
        <v>2273</v>
      </c>
      <c r="D123" s="1170" t="s">
        <v>46</v>
      </c>
      <c r="E123" s="1171">
        <f>SUM(D124)</f>
        <v>29.702</v>
      </c>
      <c r="F123" s="1171"/>
      <c r="G123" s="1172">
        <f>$E123*F123</f>
        <v>0</v>
      </c>
      <c r="H123" s="615"/>
      <c r="I123" s="622"/>
      <c r="J123" s="615">
        <v>0.0048</v>
      </c>
      <c r="K123" s="615">
        <f>E123*J123</f>
        <v>0.1425696</v>
      </c>
      <c r="L123" s="622"/>
    </row>
    <row r="124" spans="1:20" s="596" customFormat="1" ht="18" customHeight="1">
      <c r="A124" s="933"/>
      <c r="B124" s="1163"/>
      <c r="C124" s="934" t="s">
        <v>2385</v>
      </c>
      <c r="D124" s="873">
        <f>29.1*1.02+0.02</f>
        <v>29.702</v>
      </c>
      <c r="E124" s="1164"/>
      <c r="F124" s="1165"/>
      <c r="G124" s="1166"/>
      <c r="H124" s="593"/>
      <c r="I124" s="593"/>
      <c r="J124" s="592"/>
      <c r="K124" s="615"/>
      <c r="L124" s="593"/>
      <c r="M124" s="593"/>
      <c r="N124" s="594"/>
      <c r="O124" s="794"/>
      <c r="P124" s="806"/>
      <c r="Q124" s="806"/>
      <c r="R124" s="814"/>
      <c r="S124" s="595"/>
      <c r="T124" s="595"/>
    </row>
    <row r="125" spans="1:12" s="271" customFormat="1" ht="26.25" customHeight="1">
      <c r="A125" s="1167" t="s">
        <v>405</v>
      </c>
      <c r="B125" s="1168" t="s">
        <v>2244</v>
      </c>
      <c r="C125" s="1169" t="s">
        <v>2272</v>
      </c>
      <c r="D125" s="1170" t="s">
        <v>46</v>
      </c>
      <c r="E125" s="1171">
        <f>SUM(D126)</f>
        <v>795.1</v>
      </c>
      <c r="F125" s="1171"/>
      <c r="G125" s="1172">
        <f>$E125*F125</f>
        <v>0</v>
      </c>
      <c r="H125" s="615"/>
      <c r="I125" s="622"/>
      <c r="J125" s="615">
        <v>0.0024</v>
      </c>
      <c r="K125" s="615">
        <f>E125*J125</f>
        <v>1.90824</v>
      </c>
      <c r="L125" s="622"/>
    </row>
    <row r="126" spans="1:20" s="596" customFormat="1" ht="21.75" customHeight="1">
      <c r="A126" s="933"/>
      <c r="B126" s="1163"/>
      <c r="C126" s="934" t="s">
        <v>2394</v>
      </c>
      <c r="D126" s="873">
        <f>(869.7-39.2-29.1-16.3-5.6)*1.02+0.01</f>
        <v>795.1</v>
      </c>
      <c r="E126" s="1164"/>
      <c r="F126" s="1165"/>
      <c r="G126" s="1166"/>
      <c r="H126" s="593"/>
      <c r="I126" s="593"/>
      <c r="J126" s="592"/>
      <c r="K126" s="615"/>
      <c r="L126" s="593"/>
      <c r="M126" s="593"/>
      <c r="N126" s="594"/>
      <c r="O126" s="794"/>
      <c r="P126" s="806"/>
      <c r="Q126" s="806"/>
      <c r="R126" s="814"/>
      <c r="S126" s="595"/>
      <c r="T126" s="595"/>
    </row>
    <row r="127" spans="1:20" s="271" customFormat="1" ht="20.25" customHeight="1">
      <c r="A127" s="1167" t="s">
        <v>464</v>
      </c>
      <c r="B127" s="269" t="s">
        <v>2454</v>
      </c>
      <c r="C127" s="270" t="s">
        <v>2392</v>
      </c>
      <c r="D127" s="269" t="s">
        <v>46</v>
      </c>
      <c r="E127" s="439">
        <f>SUM(D128)</f>
        <v>5.8999999999999995</v>
      </c>
      <c r="F127" s="974"/>
      <c r="G127" s="1145">
        <f>$E127*F127</f>
        <v>0</v>
      </c>
      <c r="H127" s="85"/>
      <c r="I127" s="85"/>
      <c r="J127" s="85">
        <v>0.0015</v>
      </c>
      <c r="K127" s="615">
        <f>E127*J127</f>
        <v>0.00885</v>
      </c>
      <c r="L127" s="85"/>
      <c r="M127" s="85"/>
      <c r="N127" s="202"/>
      <c r="O127" s="986"/>
      <c r="P127" s="987"/>
      <c r="Q127" s="987"/>
      <c r="R127" s="808"/>
      <c r="S127" s="203"/>
      <c r="T127" s="203"/>
    </row>
    <row r="128" spans="1:12" s="595" customFormat="1" ht="21.75" customHeight="1">
      <c r="A128" s="1173"/>
      <c r="B128" s="1174" t="s">
        <v>2455</v>
      </c>
      <c r="C128" s="1175" t="s">
        <v>2393</v>
      </c>
      <c r="D128" s="1176">
        <f>(3.5+2.1)*1.05+0.02</f>
        <v>5.8999999999999995</v>
      </c>
      <c r="E128" s="1177"/>
      <c r="F128" s="1177"/>
      <c r="G128" s="1178"/>
      <c r="H128" s="922"/>
      <c r="I128" s="922"/>
      <c r="J128" s="922"/>
      <c r="K128" s="922"/>
      <c r="L128" s="922"/>
    </row>
    <row r="129" spans="1:20" s="267" customFormat="1" ht="14.25" customHeight="1">
      <c r="A129" s="262"/>
      <c r="B129" s="253"/>
      <c r="C129" s="254"/>
      <c r="D129" s="253"/>
      <c r="E129" s="256"/>
      <c r="F129" s="256"/>
      <c r="G129" s="460"/>
      <c r="H129" s="264"/>
      <c r="I129" s="264"/>
      <c r="J129" s="264"/>
      <c r="K129" s="264"/>
      <c r="L129" s="264"/>
      <c r="M129" s="264"/>
      <c r="N129" s="265"/>
      <c r="O129" s="794"/>
      <c r="P129" s="806"/>
      <c r="Q129" s="806"/>
      <c r="R129" s="833"/>
      <c r="S129" s="266"/>
      <c r="T129" s="266"/>
    </row>
    <row r="130" spans="1:12" s="244" customFormat="1" ht="27.75" customHeight="1">
      <c r="A130" s="1146" t="s">
        <v>465</v>
      </c>
      <c r="B130" s="305" t="s">
        <v>2269</v>
      </c>
      <c r="C130" s="306" t="s">
        <v>2451</v>
      </c>
      <c r="D130" s="305" t="s">
        <v>116</v>
      </c>
      <c r="E130" s="439">
        <v>82</v>
      </c>
      <c r="F130" s="439"/>
      <c r="G130" s="1179">
        <f>E130*F130</f>
        <v>0</v>
      </c>
      <c r="H130" s="241"/>
      <c r="I130" s="241"/>
      <c r="J130" s="241">
        <v>0.0008</v>
      </c>
      <c r="K130" s="615">
        <f>E130*J130</f>
        <v>0.0656</v>
      </c>
      <c r="L130" s="241"/>
    </row>
    <row r="131" spans="1:12" s="244" customFormat="1" ht="23.25" customHeight="1">
      <c r="A131" s="1146" t="s">
        <v>466</v>
      </c>
      <c r="B131" s="305" t="s">
        <v>2270</v>
      </c>
      <c r="C131" s="306" t="s">
        <v>2452</v>
      </c>
      <c r="D131" s="305" t="s">
        <v>116</v>
      </c>
      <c r="E131" s="439">
        <v>82</v>
      </c>
      <c r="F131" s="439"/>
      <c r="G131" s="1179">
        <f>E131*F131</f>
        <v>0</v>
      </c>
      <c r="H131" s="241"/>
      <c r="I131" s="241"/>
      <c r="J131" s="241">
        <v>0.00018</v>
      </c>
      <c r="K131" s="615">
        <f>E131*J131</f>
        <v>0.01476</v>
      </c>
      <c r="L131" s="241"/>
    </row>
    <row r="132" spans="1:12" s="244" customFormat="1" ht="28.5" customHeight="1">
      <c r="A132" s="1146" t="s">
        <v>467</v>
      </c>
      <c r="B132" s="305" t="s">
        <v>2271</v>
      </c>
      <c r="C132" s="306" t="s">
        <v>2453</v>
      </c>
      <c r="D132" s="305" t="s">
        <v>161</v>
      </c>
      <c r="E132" s="439">
        <v>1</v>
      </c>
      <c r="F132" s="439"/>
      <c r="G132" s="1179">
        <f>E132*F132</f>
        <v>0</v>
      </c>
      <c r="H132" s="241"/>
      <c r="I132" s="241"/>
      <c r="J132" s="241">
        <v>0.00162</v>
      </c>
      <c r="K132" s="615">
        <f>E132*J132</f>
        <v>0.00162</v>
      </c>
      <c r="L132" s="241"/>
    </row>
    <row r="133" spans="1:12" s="244" customFormat="1" ht="12.75" customHeight="1">
      <c r="A133" s="455"/>
      <c r="B133" s="477"/>
      <c r="C133" s="306"/>
      <c r="D133" s="305"/>
      <c r="E133" s="439"/>
      <c r="F133" s="439"/>
      <c r="G133" s="478"/>
      <c r="H133" s="241"/>
      <c r="I133" s="241"/>
      <c r="J133" s="241"/>
      <c r="K133" s="241"/>
      <c r="L133" s="241"/>
    </row>
    <row r="134" spans="1:12" s="271" customFormat="1" ht="26.25" customHeight="1">
      <c r="A134" s="1146" t="s">
        <v>468</v>
      </c>
      <c r="B134" s="1180" t="s">
        <v>2240</v>
      </c>
      <c r="C134" s="935" t="s">
        <v>2241</v>
      </c>
      <c r="D134" s="1181" t="s">
        <v>46</v>
      </c>
      <c r="E134" s="1182">
        <f>E119</f>
        <v>869.6999999999999</v>
      </c>
      <c r="F134" s="1182"/>
      <c r="G134" s="1183">
        <f>$E134*F134</f>
        <v>0</v>
      </c>
      <c r="H134" s="615"/>
      <c r="I134" s="622"/>
      <c r="J134" s="615">
        <v>0.00438</v>
      </c>
      <c r="K134" s="615">
        <f>E134*J134</f>
        <v>3.8092859999999997</v>
      </c>
      <c r="L134" s="622"/>
    </row>
    <row r="135" spans="1:12" s="244" customFormat="1" ht="9.75" customHeight="1">
      <c r="A135" s="455"/>
      <c r="B135" s="1184"/>
      <c r="C135" s="1185"/>
      <c r="D135" s="1186"/>
      <c r="E135" s="1187"/>
      <c r="F135" s="1187"/>
      <c r="G135" s="1188"/>
      <c r="H135" s="241"/>
      <c r="I135" s="241"/>
      <c r="J135" s="241"/>
      <c r="K135" s="615"/>
      <c r="L135" s="241"/>
    </row>
    <row r="136" spans="1:20" s="204" customFormat="1" ht="19.5" customHeight="1">
      <c r="A136" s="1189" t="s">
        <v>469</v>
      </c>
      <c r="B136" s="1190" t="s">
        <v>1437</v>
      </c>
      <c r="C136" s="1191" t="s">
        <v>1436</v>
      </c>
      <c r="D136" s="1192" t="s">
        <v>46</v>
      </c>
      <c r="E136" s="1193">
        <f>E137</f>
        <v>745.3</v>
      </c>
      <c r="F136" s="1193"/>
      <c r="G136" s="1194">
        <f>E136*F136</f>
        <v>0</v>
      </c>
      <c r="H136" s="201">
        <v>0</v>
      </c>
      <c r="I136" s="201">
        <f>E136*H136</f>
        <v>0</v>
      </c>
      <c r="J136" s="85">
        <v>0</v>
      </c>
      <c r="K136" s="85">
        <f>E136*J136</f>
        <v>0</v>
      </c>
      <c r="L136" s="85"/>
      <c r="M136" s="85"/>
      <c r="N136" s="202"/>
      <c r="O136" s="203"/>
      <c r="P136" s="203"/>
      <c r="Q136" s="203"/>
      <c r="R136" s="203"/>
      <c r="S136" s="203"/>
      <c r="T136" s="203"/>
    </row>
    <row r="137" spans="1:12" s="271" customFormat="1" ht="26.25" customHeight="1">
      <c r="A137" s="1189" t="s">
        <v>470</v>
      </c>
      <c r="B137" s="1195">
        <v>622321141</v>
      </c>
      <c r="C137" s="1196" t="s">
        <v>2263</v>
      </c>
      <c r="D137" s="1197" t="s">
        <v>46</v>
      </c>
      <c r="E137" s="1198">
        <f>SUM(D138)</f>
        <v>745.3</v>
      </c>
      <c r="F137" s="1198"/>
      <c r="G137" s="1199">
        <f>$E137*F137</f>
        <v>0</v>
      </c>
      <c r="H137" s="615"/>
      <c r="I137" s="622"/>
      <c r="J137" s="615">
        <v>0.00273</v>
      </c>
      <c r="K137" s="615">
        <f>E137*J137</f>
        <v>2.0346689999999996</v>
      </c>
      <c r="L137" s="622"/>
    </row>
    <row r="138" spans="1:20" s="596" customFormat="1" ht="16.5" customHeight="1">
      <c r="A138" s="933"/>
      <c r="B138" s="686"/>
      <c r="C138" s="934" t="s">
        <v>2262</v>
      </c>
      <c r="D138" s="873">
        <f>869-123.75+0.05</f>
        <v>745.3</v>
      </c>
      <c r="E138" s="874"/>
      <c r="F138" s="875"/>
      <c r="G138" s="936"/>
      <c r="H138" s="593"/>
      <c r="I138" s="593"/>
      <c r="J138" s="592"/>
      <c r="K138" s="592"/>
      <c r="L138" s="593"/>
      <c r="M138" s="593"/>
      <c r="N138" s="594"/>
      <c r="O138" s="794"/>
      <c r="P138" s="806"/>
      <c r="Q138" s="806"/>
      <c r="R138" s="814"/>
      <c r="S138" s="595"/>
      <c r="T138" s="595"/>
    </row>
    <row r="139" spans="1:12" s="244" customFormat="1" ht="23.25" customHeight="1">
      <c r="A139" s="1189" t="s">
        <v>471</v>
      </c>
      <c r="B139" s="305" t="s">
        <v>2265</v>
      </c>
      <c r="C139" s="306" t="s">
        <v>2266</v>
      </c>
      <c r="D139" s="305" t="s">
        <v>46</v>
      </c>
      <c r="E139" s="439">
        <f>E137</f>
        <v>745.3</v>
      </c>
      <c r="F139" s="439"/>
      <c r="G139" s="1194">
        <f>E139*F139</f>
        <v>0</v>
      </c>
      <c r="H139" s="241"/>
      <c r="I139" s="241"/>
      <c r="J139" s="241"/>
      <c r="K139" s="241"/>
      <c r="L139" s="241"/>
    </row>
    <row r="140" spans="1:12" s="244" customFormat="1" ht="23.25" customHeight="1">
      <c r="A140" s="1189" t="s">
        <v>472</v>
      </c>
      <c r="B140" s="921" t="s">
        <v>2267</v>
      </c>
      <c r="C140" s="977" t="s">
        <v>2268</v>
      </c>
      <c r="D140" s="921" t="s">
        <v>46</v>
      </c>
      <c r="E140" s="939">
        <f>E139</f>
        <v>745.3</v>
      </c>
      <c r="F140" s="939"/>
      <c r="G140" s="1200">
        <f>E140*F140</f>
        <v>0</v>
      </c>
      <c r="H140" s="241"/>
      <c r="I140" s="241"/>
      <c r="J140" s="241">
        <v>0.001</v>
      </c>
      <c r="K140" s="615">
        <f>E140*J140</f>
        <v>0.7453</v>
      </c>
      <c r="L140" s="241"/>
    </row>
    <row r="141" spans="1:12" s="244" customFormat="1" ht="29.25" customHeight="1">
      <c r="A141" s="1189" t="s">
        <v>473</v>
      </c>
      <c r="B141" s="1201" t="s">
        <v>2381</v>
      </c>
      <c r="C141" s="1202" t="s">
        <v>2395</v>
      </c>
      <c r="D141" s="1201" t="s">
        <v>175</v>
      </c>
      <c r="E141" s="1203">
        <v>4</v>
      </c>
      <c r="F141" s="1204"/>
      <c r="G141" s="1200">
        <f>E141*F141</f>
        <v>0</v>
      </c>
      <c r="H141" s="241"/>
      <c r="I141" s="241"/>
      <c r="J141" s="241">
        <v>0.0102</v>
      </c>
      <c r="K141" s="615">
        <f>E141*J141</f>
        <v>0.0408</v>
      </c>
      <c r="L141" s="241"/>
    </row>
    <row r="142" spans="1:12" s="244" customFormat="1" ht="29.25" customHeight="1">
      <c r="A142" s="1189" t="s">
        <v>474</v>
      </c>
      <c r="B142" s="1201" t="s">
        <v>2381</v>
      </c>
      <c r="C142" s="1202" t="s">
        <v>2396</v>
      </c>
      <c r="D142" s="1201" t="s">
        <v>175</v>
      </c>
      <c r="E142" s="1205">
        <v>4</v>
      </c>
      <c r="F142" s="1203"/>
      <c r="G142" s="1206">
        <f>E142*F142</f>
        <v>0</v>
      </c>
      <c r="H142" s="241"/>
      <c r="I142" s="241"/>
      <c r="J142" s="241">
        <v>0.0102</v>
      </c>
      <c r="K142" s="615">
        <f>E142*J142</f>
        <v>0.0408</v>
      </c>
      <c r="L142" s="241"/>
    </row>
    <row r="143" spans="1:12" s="271" customFormat="1" ht="27" customHeight="1">
      <c r="A143" s="1189" t="s">
        <v>2456</v>
      </c>
      <c r="B143" s="978" t="s">
        <v>169</v>
      </c>
      <c r="C143" s="979" t="s">
        <v>1114</v>
      </c>
      <c r="D143" s="980" t="s">
        <v>73</v>
      </c>
      <c r="E143" s="1004">
        <f>K143</f>
        <v>33.03916139999999</v>
      </c>
      <c r="F143" s="1207"/>
      <c r="G143" s="1208">
        <f>$E143*F143</f>
        <v>0</v>
      </c>
      <c r="H143" s="615"/>
      <c r="I143" s="622"/>
      <c r="J143" s="615"/>
      <c r="K143" s="623">
        <f>SUM(K95:K141)</f>
        <v>33.03916139999999</v>
      </c>
      <c r="L143" s="622"/>
    </row>
    <row r="144" spans="1:12" s="244" customFormat="1" ht="14" thickBot="1">
      <c r="A144" s="1209"/>
      <c r="B144" s="1210"/>
      <c r="C144" s="1211"/>
      <c r="D144" s="1212"/>
      <c r="E144" s="1204"/>
      <c r="F144" s="1204"/>
      <c r="G144" s="1213"/>
      <c r="H144" s="241"/>
      <c r="I144" s="241"/>
      <c r="J144" s="241"/>
      <c r="K144" s="241"/>
      <c r="L144" s="241"/>
    </row>
    <row r="145" spans="1:7" ht="13" thickBot="1">
      <c r="A145" s="225"/>
      <c r="B145" s="226"/>
      <c r="C145" s="227" t="s">
        <v>113</v>
      </c>
      <c r="D145" s="226"/>
      <c r="E145" s="416"/>
      <c r="F145" s="417"/>
      <c r="G145" s="230">
        <f>SUBTOTAL(9,G95:G144)</f>
        <v>0</v>
      </c>
    </row>
    <row r="146" spans="1:7" ht="13" thickBot="1">
      <c r="A146" s="179"/>
      <c r="B146" s="180"/>
      <c r="C146" s="180"/>
      <c r="D146" s="180"/>
      <c r="E146" s="180"/>
      <c r="F146" s="180"/>
      <c r="G146" s="396"/>
    </row>
    <row r="147" spans="1:7" ht="13" thickBot="1">
      <c r="A147" s="182" t="s">
        <v>121</v>
      </c>
      <c r="B147" s="183"/>
      <c r="C147" s="184" t="s">
        <v>154</v>
      </c>
      <c r="D147" s="397"/>
      <c r="E147" s="398"/>
      <c r="F147" s="187"/>
      <c r="G147" s="399"/>
    </row>
    <row r="148" spans="1:7" ht="12.75">
      <c r="A148" s="189"/>
      <c r="B148" s="400"/>
      <c r="C148" s="232"/>
      <c r="D148" s="233"/>
      <c r="E148" s="401"/>
      <c r="F148" s="402"/>
      <c r="G148" s="403"/>
    </row>
    <row r="149" spans="1:12" s="584" customFormat="1" ht="12.75">
      <c r="A149" s="602"/>
      <c r="B149" s="612"/>
      <c r="C149" s="583" t="s">
        <v>1196</v>
      </c>
      <c r="D149" s="603"/>
      <c r="E149" s="604"/>
      <c r="F149" s="605"/>
      <c r="G149" s="606"/>
      <c r="H149" s="488"/>
      <c r="I149" s="488"/>
      <c r="J149" s="488"/>
      <c r="K149" s="488"/>
      <c r="L149" s="488"/>
    </row>
    <row r="150" spans="1:12" s="204" customFormat="1" ht="200.25" customHeight="1">
      <c r="A150" s="582" t="s">
        <v>1028</v>
      </c>
      <c r="B150" s="462" t="s">
        <v>1197</v>
      </c>
      <c r="C150" s="270" t="s">
        <v>1198</v>
      </c>
      <c r="D150" s="1214" t="s">
        <v>158</v>
      </c>
      <c r="E150" s="1203">
        <v>1</v>
      </c>
      <c r="F150" s="1215"/>
      <c r="G150" s="1216">
        <f aca="true" t="shared" si="6" ref="G150:G159">$E150*F150</f>
        <v>0</v>
      </c>
      <c r="H150" s="481"/>
      <c r="I150" s="481"/>
      <c r="J150" s="481"/>
      <c r="K150" s="481"/>
      <c r="L150" s="481"/>
    </row>
    <row r="151" spans="1:12" s="204" customFormat="1" ht="195" customHeight="1">
      <c r="A151" s="582" t="s">
        <v>1030</v>
      </c>
      <c r="B151" s="462" t="s">
        <v>1199</v>
      </c>
      <c r="C151" s="270" t="s">
        <v>1200</v>
      </c>
      <c r="D151" s="1214" t="s">
        <v>158</v>
      </c>
      <c r="E151" s="1203">
        <v>7</v>
      </c>
      <c r="F151" s="1215"/>
      <c r="G151" s="1216">
        <f t="shared" si="6"/>
        <v>0</v>
      </c>
      <c r="H151" s="481"/>
      <c r="I151" s="481"/>
      <c r="J151" s="481"/>
      <c r="K151" s="481"/>
      <c r="L151" s="481"/>
    </row>
    <row r="152" spans="1:12" s="204" customFormat="1" ht="192.75" customHeight="1">
      <c r="A152" s="582" t="s">
        <v>1030</v>
      </c>
      <c r="B152" s="462" t="s">
        <v>1201</v>
      </c>
      <c r="C152" s="270" t="s">
        <v>1202</v>
      </c>
      <c r="D152" s="1214" t="s">
        <v>158</v>
      </c>
      <c r="E152" s="1203">
        <v>1</v>
      </c>
      <c r="F152" s="1215"/>
      <c r="G152" s="1216">
        <f t="shared" si="6"/>
        <v>0</v>
      </c>
      <c r="H152" s="481"/>
      <c r="I152" s="481"/>
      <c r="J152" s="481"/>
      <c r="K152" s="481"/>
      <c r="L152" s="481"/>
    </row>
    <row r="153" spans="1:12" s="204" customFormat="1" ht="189.75" customHeight="1">
      <c r="A153" s="582" t="s">
        <v>1030</v>
      </c>
      <c r="B153" s="462" t="s">
        <v>1203</v>
      </c>
      <c r="C153" s="270" t="s">
        <v>1204</v>
      </c>
      <c r="D153" s="1214" t="s">
        <v>158</v>
      </c>
      <c r="E153" s="1203">
        <v>2</v>
      </c>
      <c r="F153" s="1215"/>
      <c r="G153" s="1216">
        <f t="shared" si="6"/>
        <v>0</v>
      </c>
      <c r="H153" s="481"/>
      <c r="I153" s="481"/>
      <c r="J153" s="481"/>
      <c r="K153" s="481"/>
      <c r="L153" s="481"/>
    </row>
    <row r="154" spans="1:12" s="204" customFormat="1" ht="192.75" customHeight="1">
      <c r="A154" s="582" t="s">
        <v>1030</v>
      </c>
      <c r="B154" s="462" t="s">
        <v>1205</v>
      </c>
      <c r="C154" s="270" t="s">
        <v>1206</v>
      </c>
      <c r="D154" s="1214" t="s">
        <v>158</v>
      </c>
      <c r="E154" s="1203">
        <v>1</v>
      </c>
      <c r="F154" s="1215"/>
      <c r="G154" s="1216">
        <f t="shared" si="6"/>
        <v>0</v>
      </c>
      <c r="H154" s="481"/>
      <c r="I154" s="481"/>
      <c r="J154" s="481"/>
      <c r="K154" s="481"/>
      <c r="L154" s="481"/>
    </row>
    <row r="155" spans="1:12" s="204" customFormat="1" ht="218.25" customHeight="1">
      <c r="A155" s="582" t="s">
        <v>1030</v>
      </c>
      <c r="B155" s="462" t="s">
        <v>1207</v>
      </c>
      <c r="C155" s="270" t="s">
        <v>1208</v>
      </c>
      <c r="D155" s="1214" t="s">
        <v>158</v>
      </c>
      <c r="E155" s="1203">
        <v>1</v>
      </c>
      <c r="F155" s="1215"/>
      <c r="G155" s="1216">
        <f t="shared" si="6"/>
        <v>0</v>
      </c>
      <c r="H155" s="481"/>
      <c r="I155" s="481"/>
      <c r="J155" s="481"/>
      <c r="K155" s="481"/>
      <c r="L155" s="481"/>
    </row>
    <row r="156" spans="1:12" s="204" customFormat="1" ht="204.75" customHeight="1">
      <c r="A156" s="582" t="s">
        <v>1030</v>
      </c>
      <c r="B156" s="462" t="s">
        <v>1209</v>
      </c>
      <c r="C156" s="270" t="s">
        <v>1210</v>
      </c>
      <c r="D156" s="1214" t="s">
        <v>158</v>
      </c>
      <c r="E156" s="1203">
        <v>1</v>
      </c>
      <c r="F156" s="1215"/>
      <c r="G156" s="1216">
        <f t="shared" si="6"/>
        <v>0</v>
      </c>
      <c r="H156" s="481"/>
      <c r="I156" s="481"/>
      <c r="J156" s="481"/>
      <c r="K156" s="481"/>
      <c r="L156" s="481"/>
    </row>
    <row r="157" spans="1:12" s="204" customFormat="1" ht="204.75" customHeight="1">
      <c r="A157" s="582" t="s">
        <v>1030</v>
      </c>
      <c r="B157" s="462" t="s">
        <v>1211</v>
      </c>
      <c r="C157" s="270" t="s">
        <v>1212</v>
      </c>
      <c r="D157" s="1214" t="s">
        <v>158</v>
      </c>
      <c r="E157" s="1203">
        <v>2</v>
      </c>
      <c r="F157" s="1215"/>
      <c r="G157" s="1216">
        <f t="shared" si="6"/>
        <v>0</v>
      </c>
      <c r="H157" s="481"/>
      <c r="I157" s="481"/>
      <c r="J157" s="481"/>
      <c r="K157" s="481"/>
      <c r="L157" s="481"/>
    </row>
    <row r="158" spans="1:12" s="204" customFormat="1" ht="193.5" customHeight="1">
      <c r="A158" s="582" t="s">
        <v>1030</v>
      </c>
      <c r="B158" s="462" t="s">
        <v>1213</v>
      </c>
      <c r="C158" s="270" t="s">
        <v>1214</v>
      </c>
      <c r="D158" s="1214" t="s">
        <v>158</v>
      </c>
      <c r="E158" s="1203">
        <v>1</v>
      </c>
      <c r="F158" s="1215"/>
      <c r="G158" s="1216">
        <f t="shared" si="6"/>
        <v>0</v>
      </c>
      <c r="H158" s="481"/>
      <c r="I158" s="481"/>
      <c r="J158" s="481"/>
      <c r="K158" s="481"/>
      <c r="L158" s="481"/>
    </row>
    <row r="159" spans="1:12" s="204" customFormat="1" ht="183" customHeight="1">
      <c r="A159" s="582" t="s">
        <v>1030</v>
      </c>
      <c r="B159" s="462" t="s">
        <v>1215</v>
      </c>
      <c r="C159" s="270" t="s">
        <v>1216</v>
      </c>
      <c r="D159" s="1214" t="s">
        <v>158</v>
      </c>
      <c r="E159" s="1203">
        <v>1</v>
      </c>
      <c r="F159" s="1215"/>
      <c r="G159" s="1216">
        <f t="shared" si="6"/>
        <v>0</v>
      </c>
      <c r="H159" s="481"/>
      <c r="I159" s="481"/>
      <c r="J159" s="481"/>
      <c r="K159" s="481"/>
      <c r="L159" s="481"/>
    </row>
    <row r="160" spans="1:12" s="204" customFormat="1" ht="21.75" customHeight="1">
      <c r="A160" s="582"/>
      <c r="B160" s="462"/>
      <c r="C160" s="270"/>
      <c r="D160" s="1214"/>
      <c r="E160" s="1203"/>
      <c r="F160" s="1215"/>
      <c r="G160" s="1216"/>
      <c r="H160" s="481"/>
      <c r="I160" s="481"/>
      <c r="J160" s="481"/>
      <c r="K160" s="481"/>
      <c r="L160" s="481"/>
    </row>
    <row r="161" spans="1:12" s="271" customFormat="1" ht="30" customHeight="1">
      <c r="A161" s="268"/>
      <c r="B161" s="618"/>
      <c r="C161" s="270" t="s">
        <v>1217</v>
      </c>
      <c r="D161" s="269" t="s">
        <v>161</v>
      </c>
      <c r="E161" s="619">
        <v>1</v>
      </c>
      <c r="F161" s="619"/>
      <c r="G161" s="1216">
        <f>$E161*F161</f>
        <v>0</v>
      </c>
      <c r="H161" s="481"/>
      <c r="I161" s="481"/>
      <c r="J161" s="481"/>
      <c r="K161" s="481"/>
      <c r="L161" s="481"/>
    </row>
    <row r="162" spans="1:12" s="204" customFormat="1" ht="21.75" customHeight="1">
      <c r="A162" s="582"/>
      <c r="B162" s="462"/>
      <c r="C162" s="270"/>
      <c r="D162" s="1214"/>
      <c r="E162" s="1203"/>
      <c r="F162" s="1215"/>
      <c r="G162" s="1216"/>
      <c r="H162" s="481"/>
      <c r="I162" s="481"/>
      <c r="J162" s="481"/>
      <c r="K162" s="481"/>
      <c r="L162" s="481"/>
    </row>
    <row r="163" spans="1:12" s="920" customFormat="1" ht="27" customHeight="1">
      <c r="A163" s="582"/>
      <c r="B163" s="612"/>
      <c r="C163" s="583" t="s">
        <v>1218</v>
      </c>
      <c r="D163" s="462"/>
      <c r="E163" s="605"/>
      <c r="F163" s="605"/>
      <c r="G163" s="924"/>
      <c r="H163" s="829"/>
      <c r="I163" s="829"/>
      <c r="J163" s="829"/>
      <c r="K163" s="829"/>
      <c r="L163" s="829"/>
    </row>
    <row r="164" spans="1:12" s="920" customFormat="1" ht="222.75" customHeight="1">
      <c r="A164" s="582" t="s">
        <v>1030</v>
      </c>
      <c r="B164" s="462" t="s">
        <v>1219</v>
      </c>
      <c r="C164" s="583" t="s">
        <v>1220</v>
      </c>
      <c r="D164" s="1214" t="s">
        <v>158</v>
      </c>
      <c r="E164" s="1203">
        <v>3</v>
      </c>
      <c r="F164" s="1215"/>
      <c r="G164" s="1216">
        <f aca="true" t="shared" si="7" ref="G164:G177">$E164*F164</f>
        <v>0</v>
      </c>
      <c r="H164" s="829"/>
      <c r="I164" s="829"/>
      <c r="J164" s="829"/>
      <c r="K164" s="829"/>
      <c r="L164" s="829"/>
    </row>
    <row r="165" spans="1:12" s="920" customFormat="1" ht="210" customHeight="1">
      <c r="A165" s="582" t="s">
        <v>1030</v>
      </c>
      <c r="B165" s="462" t="s">
        <v>1221</v>
      </c>
      <c r="C165" s="583" t="s">
        <v>1222</v>
      </c>
      <c r="D165" s="1214" t="s">
        <v>158</v>
      </c>
      <c r="E165" s="1203">
        <v>1</v>
      </c>
      <c r="F165" s="1215"/>
      <c r="G165" s="1216">
        <f t="shared" si="7"/>
        <v>0</v>
      </c>
      <c r="H165" s="829"/>
      <c r="I165" s="829"/>
      <c r="J165" s="829"/>
      <c r="K165" s="829"/>
      <c r="L165" s="829"/>
    </row>
    <row r="166" spans="1:12" s="920" customFormat="1" ht="207.75" customHeight="1">
      <c r="A166" s="582" t="s">
        <v>1030</v>
      </c>
      <c r="B166" s="462" t="s">
        <v>1223</v>
      </c>
      <c r="C166" s="583" t="s">
        <v>1224</v>
      </c>
      <c r="D166" s="1214" t="s">
        <v>158</v>
      </c>
      <c r="E166" s="1203">
        <v>1</v>
      </c>
      <c r="F166" s="1215"/>
      <c r="G166" s="1216">
        <f t="shared" si="7"/>
        <v>0</v>
      </c>
      <c r="H166" s="829"/>
      <c r="I166" s="829"/>
      <c r="J166" s="829"/>
      <c r="K166" s="829"/>
      <c r="L166" s="829"/>
    </row>
    <row r="167" spans="1:12" s="920" customFormat="1" ht="191.25" customHeight="1">
      <c r="A167" s="582" t="s">
        <v>1030</v>
      </c>
      <c r="B167" s="462" t="s">
        <v>1225</v>
      </c>
      <c r="C167" s="583" t="s">
        <v>1226</v>
      </c>
      <c r="D167" s="1214" t="s">
        <v>158</v>
      </c>
      <c r="E167" s="1203">
        <v>1</v>
      </c>
      <c r="F167" s="1215"/>
      <c r="G167" s="1216">
        <f t="shared" si="7"/>
        <v>0</v>
      </c>
      <c r="H167" s="829"/>
      <c r="I167" s="829"/>
      <c r="J167" s="829"/>
      <c r="K167" s="829"/>
      <c r="L167" s="829"/>
    </row>
    <row r="168" spans="1:12" s="920" customFormat="1" ht="204.75" customHeight="1">
      <c r="A168" s="582" t="s">
        <v>1030</v>
      </c>
      <c r="B168" s="462" t="s">
        <v>1227</v>
      </c>
      <c r="C168" s="583" t="s">
        <v>2457</v>
      </c>
      <c r="D168" s="1214" t="s">
        <v>158</v>
      </c>
      <c r="E168" s="1203">
        <v>1</v>
      </c>
      <c r="F168" s="1215"/>
      <c r="G168" s="1216">
        <f t="shared" si="7"/>
        <v>0</v>
      </c>
      <c r="H168" s="829"/>
      <c r="I168" s="829"/>
      <c r="J168" s="829"/>
      <c r="K168" s="829"/>
      <c r="L168" s="829"/>
    </row>
    <row r="169" spans="1:12" s="920" customFormat="1" ht="201.75" customHeight="1">
      <c r="A169" s="582" t="s">
        <v>1030</v>
      </c>
      <c r="B169" s="462" t="s">
        <v>1228</v>
      </c>
      <c r="C169" s="583" t="s">
        <v>1229</v>
      </c>
      <c r="D169" s="1214" t="s">
        <v>158</v>
      </c>
      <c r="E169" s="1203">
        <v>8</v>
      </c>
      <c r="F169" s="1215"/>
      <c r="G169" s="1216">
        <f t="shared" si="7"/>
        <v>0</v>
      </c>
      <c r="H169" s="829"/>
      <c r="I169" s="829"/>
      <c r="J169" s="829"/>
      <c r="K169" s="829"/>
      <c r="L169" s="829"/>
    </row>
    <row r="170" spans="1:12" s="920" customFormat="1" ht="207" customHeight="1">
      <c r="A170" s="582" t="s">
        <v>1030</v>
      </c>
      <c r="B170" s="462" t="s">
        <v>1230</v>
      </c>
      <c r="C170" s="583" t="s">
        <v>1231</v>
      </c>
      <c r="D170" s="1214" t="s">
        <v>158</v>
      </c>
      <c r="E170" s="1203">
        <v>2</v>
      </c>
      <c r="F170" s="1215"/>
      <c r="G170" s="1216">
        <f t="shared" si="7"/>
        <v>0</v>
      </c>
      <c r="H170" s="829"/>
      <c r="I170" s="829"/>
      <c r="J170" s="829"/>
      <c r="K170" s="829"/>
      <c r="L170" s="829"/>
    </row>
    <row r="171" spans="1:12" s="920" customFormat="1" ht="205.5" customHeight="1">
      <c r="A171" s="582" t="s">
        <v>1232</v>
      </c>
      <c r="B171" s="462" t="s">
        <v>1233</v>
      </c>
      <c r="C171" s="583" t="s">
        <v>1234</v>
      </c>
      <c r="D171" s="1214" t="s">
        <v>158</v>
      </c>
      <c r="E171" s="1203">
        <v>4</v>
      </c>
      <c r="F171" s="1215"/>
      <c r="G171" s="1216">
        <f t="shared" si="7"/>
        <v>0</v>
      </c>
      <c r="H171" s="829"/>
      <c r="I171" s="829"/>
      <c r="J171" s="829"/>
      <c r="K171" s="829"/>
      <c r="L171" s="829"/>
    </row>
    <row r="172" spans="1:12" s="920" customFormat="1" ht="204.75" customHeight="1">
      <c r="A172" s="582" t="s">
        <v>1232</v>
      </c>
      <c r="B172" s="462" t="s">
        <v>1235</v>
      </c>
      <c r="C172" s="583" t="s">
        <v>1236</v>
      </c>
      <c r="D172" s="1214" t="s">
        <v>158</v>
      </c>
      <c r="E172" s="1203">
        <v>1</v>
      </c>
      <c r="F172" s="1215"/>
      <c r="G172" s="1216">
        <f t="shared" si="7"/>
        <v>0</v>
      </c>
      <c r="H172" s="829"/>
      <c r="I172" s="829"/>
      <c r="J172" s="829"/>
      <c r="K172" s="829"/>
      <c r="L172" s="829"/>
    </row>
    <row r="173" spans="1:12" s="920" customFormat="1" ht="201.75" customHeight="1">
      <c r="A173" s="582" t="s">
        <v>1232</v>
      </c>
      <c r="B173" s="462" t="s">
        <v>1237</v>
      </c>
      <c r="C173" s="583" t="s">
        <v>1238</v>
      </c>
      <c r="D173" s="1214" t="s">
        <v>158</v>
      </c>
      <c r="E173" s="1203">
        <v>4</v>
      </c>
      <c r="F173" s="1215"/>
      <c r="G173" s="1216">
        <f t="shared" si="7"/>
        <v>0</v>
      </c>
      <c r="H173" s="829"/>
      <c r="I173" s="829"/>
      <c r="J173" s="829"/>
      <c r="K173" s="829"/>
      <c r="L173" s="829"/>
    </row>
    <row r="174" spans="1:12" s="920" customFormat="1" ht="210" customHeight="1">
      <c r="A174" s="582" t="s">
        <v>1232</v>
      </c>
      <c r="B174" s="462" t="s">
        <v>1239</v>
      </c>
      <c r="C174" s="583" t="s">
        <v>1240</v>
      </c>
      <c r="D174" s="1214" t="s">
        <v>158</v>
      </c>
      <c r="E174" s="1203">
        <v>10</v>
      </c>
      <c r="F174" s="1215"/>
      <c r="G174" s="1216">
        <f t="shared" si="7"/>
        <v>0</v>
      </c>
      <c r="H174" s="829"/>
      <c r="I174" s="829"/>
      <c r="J174" s="829"/>
      <c r="K174" s="829"/>
      <c r="L174" s="829"/>
    </row>
    <row r="175" spans="1:12" s="920" customFormat="1" ht="206.25" customHeight="1">
      <c r="A175" s="582" t="s">
        <v>1232</v>
      </c>
      <c r="B175" s="462" t="s">
        <v>1241</v>
      </c>
      <c r="C175" s="583" t="s">
        <v>1242</v>
      </c>
      <c r="D175" s="1214" t="s">
        <v>158</v>
      </c>
      <c r="E175" s="1203">
        <v>3</v>
      </c>
      <c r="F175" s="1215"/>
      <c r="G175" s="1216">
        <f t="shared" si="7"/>
        <v>0</v>
      </c>
      <c r="H175" s="829"/>
      <c r="I175" s="829"/>
      <c r="J175" s="829"/>
      <c r="K175" s="829"/>
      <c r="L175" s="829"/>
    </row>
    <row r="176" spans="1:12" s="920" customFormat="1" ht="195" customHeight="1">
      <c r="A176" s="582" t="s">
        <v>1030</v>
      </c>
      <c r="B176" s="462" t="s">
        <v>1243</v>
      </c>
      <c r="C176" s="583" t="s">
        <v>1244</v>
      </c>
      <c r="D176" s="1214" t="s">
        <v>158</v>
      </c>
      <c r="E176" s="1203">
        <v>1</v>
      </c>
      <c r="F176" s="1215"/>
      <c r="G176" s="1216">
        <f t="shared" si="7"/>
        <v>0</v>
      </c>
      <c r="H176" s="829"/>
      <c r="I176" s="829"/>
      <c r="J176" s="829"/>
      <c r="K176" s="829"/>
      <c r="L176" s="829"/>
    </row>
    <row r="177" spans="1:12" s="920" customFormat="1" ht="183" customHeight="1">
      <c r="A177" s="582" t="s">
        <v>1030</v>
      </c>
      <c r="B177" s="462" t="s">
        <v>1245</v>
      </c>
      <c r="C177" s="583" t="s">
        <v>1246</v>
      </c>
      <c r="D177" s="1214" t="s">
        <v>158</v>
      </c>
      <c r="E177" s="1203">
        <v>1</v>
      </c>
      <c r="F177" s="1215"/>
      <c r="G177" s="1216">
        <f t="shared" si="7"/>
        <v>0</v>
      </c>
      <c r="H177" s="829"/>
      <c r="I177" s="829"/>
      <c r="J177" s="829"/>
      <c r="K177" s="829"/>
      <c r="L177" s="829"/>
    </row>
    <row r="178" spans="1:12" s="271" customFormat="1" ht="12" customHeight="1">
      <c r="A178" s="268"/>
      <c r="B178" s="618"/>
      <c r="C178" s="270"/>
      <c r="D178" s="269"/>
      <c r="E178" s="619"/>
      <c r="F178" s="619"/>
      <c r="G178" s="1216"/>
      <c r="H178" s="481"/>
      <c r="I178" s="481"/>
      <c r="J178" s="481"/>
      <c r="K178" s="481"/>
      <c r="L178" s="481"/>
    </row>
    <row r="179" spans="1:12" s="271" customFormat="1" ht="23.25" customHeight="1">
      <c r="A179" s="268"/>
      <c r="B179" s="618"/>
      <c r="C179" s="270" t="s">
        <v>1247</v>
      </c>
      <c r="D179" s="269" t="s">
        <v>161</v>
      </c>
      <c r="E179" s="619">
        <v>1</v>
      </c>
      <c r="F179" s="619"/>
      <c r="G179" s="1216">
        <f>$E179*F179</f>
        <v>0</v>
      </c>
      <c r="H179" s="481"/>
      <c r="I179" s="481"/>
      <c r="J179" s="481"/>
      <c r="K179" s="481"/>
      <c r="L179" s="481"/>
    </row>
    <row r="180" spans="1:7" ht="14" thickBot="1">
      <c r="A180" s="1217"/>
      <c r="B180" s="1210"/>
      <c r="C180" s="1211"/>
      <c r="D180" s="1212"/>
      <c r="E180" s="1218"/>
      <c r="F180" s="1204"/>
      <c r="G180" s="1219"/>
    </row>
    <row r="181" spans="1:7" ht="13" thickBot="1">
      <c r="A181" s="225"/>
      <c r="B181" s="226"/>
      <c r="C181" s="227" t="s">
        <v>113</v>
      </c>
      <c r="D181" s="226"/>
      <c r="E181" s="416"/>
      <c r="F181" s="417"/>
      <c r="G181" s="230">
        <f>SUBTOTAL(9,G148:G180)</f>
        <v>0</v>
      </c>
    </row>
    <row r="182" spans="1:7" ht="13" thickBot="1">
      <c r="A182" s="179"/>
      <c r="B182" s="180"/>
      <c r="C182" s="180"/>
      <c r="D182" s="180"/>
      <c r="E182" s="180"/>
      <c r="F182" s="180"/>
      <c r="G182" s="396"/>
    </row>
    <row r="183" spans="1:20" s="80" customFormat="1" ht="13" thickBot="1">
      <c r="A183" s="182" t="s">
        <v>98</v>
      </c>
      <c r="B183" s="183" t="s">
        <v>2274</v>
      </c>
      <c r="C183" s="184" t="s">
        <v>2275</v>
      </c>
      <c r="D183" s="185"/>
      <c r="E183" s="186"/>
      <c r="F183" s="187"/>
      <c r="G183" s="188"/>
      <c r="H183" s="77"/>
      <c r="I183" s="77"/>
      <c r="J183" s="77"/>
      <c r="K183" s="77"/>
      <c r="L183" s="77"/>
      <c r="M183" s="77"/>
      <c r="N183" s="78"/>
      <c r="O183" s="79"/>
      <c r="P183" s="79"/>
      <c r="Q183" s="79"/>
      <c r="R183" s="79"/>
      <c r="S183" s="79"/>
      <c r="T183" s="79"/>
    </row>
    <row r="184" spans="1:20" s="80" customFormat="1" ht="12.75">
      <c r="A184" s="189"/>
      <c r="B184" s="231"/>
      <c r="C184" s="232"/>
      <c r="D184" s="233"/>
      <c r="E184" s="234"/>
      <c r="F184" s="235"/>
      <c r="G184" s="236"/>
      <c r="H184" s="77"/>
      <c r="I184" s="77"/>
      <c r="J184" s="77"/>
      <c r="K184" s="77"/>
      <c r="L184" s="77"/>
      <c r="M184" s="77"/>
      <c r="N184" s="78"/>
      <c r="O184" s="79"/>
      <c r="P184" s="79"/>
      <c r="Q184" s="79"/>
      <c r="R184" s="79"/>
      <c r="S184" s="79"/>
      <c r="T184" s="79"/>
    </row>
    <row r="185" spans="1:12" s="271" customFormat="1" ht="34.5" customHeight="1">
      <c r="A185" s="1220" t="s">
        <v>156</v>
      </c>
      <c r="B185" s="1221" t="s">
        <v>2276</v>
      </c>
      <c r="C185" s="1196" t="s">
        <v>2277</v>
      </c>
      <c r="D185" s="1197" t="s">
        <v>161</v>
      </c>
      <c r="E185" s="1182">
        <v>1</v>
      </c>
      <c r="F185" s="1182"/>
      <c r="G185" s="1199">
        <f>$E185*F185</f>
        <v>0</v>
      </c>
      <c r="H185" s="615"/>
      <c r="I185" s="622"/>
      <c r="J185" s="622"/>
      <c r="K185" s="623"/>
      <c r="L185" s="622"/>
    </row>
    <row r="186" spans="1:12" s="271" customFormat="1" ht="12" customHeight="1">
      <c r="A186" s="1220"/>
      <c r="B186" s="1221"/>
      <c r="C186" s="1196"/>
      <c r="D186" s="1197"/>
      <c r="E186" s="1182"/>
      <c r="F186" s="1182"/>
      <c r="G186" s="1199"/>
      <c r="H186" s="615"/>
      <c r="I186" s="622"/>
      <c r="J186" s="622"/>
      <c r="K186" s="623"/>
      <c r="L186" s="622"/>
    </row>
    <row r="187" spans="1:12" s="271" customFormat="1" ht="27" customHeight="1">
      <c r="A187" s="1220" t="s">
        <v>159</v>
      </c>
      <c r="B187" s="1221" t="s">
        <v>2278</v>
      </c>
      <c r="C187" s="1196" t="s">
        <v>2279</v>
      </c>
      <c r="D187" s="1197" t="s">
        <v>161</v>
      </c>
      <c r="E187" s="1182">
        <v>2</v>
      </c>
      <c r="F187" s="1182"/>
      <c r="G187" s="1199">
        <f>$E187*F187</f>
        <v>0</v>
      </c>
      <c r="H187" s="615"/>
      <c r="I187" s="622"/>
      <c r="J187" s="615"/>
      <c r="K187" s="615"/>
      <c r="L187" s="622"/>
    </row>
    <row r="188" spans="1:12" s="271" customFormat="1" ht="21.75" customHeight="1">
      <c r="A188" s="1220" t="s">
        <v>162</v>
      </c>
      <c r="B188" s="1221" t="s">
        <v>2280</v>
      </c>
      <c r="C188" s="1196" t="s">
        <v>2286</v>
      </c>
      <c r="D188" s="1197" t="s">
        <v>161</v>
      </c>
      <c r="E188" s="1182">
        <v>1</v>
      </c>
      <c r="F188" s="1182"/>
      <c r="G188" s="1199">
        <f>$E188*F188</f>
        <v>0</v>
      </c>
      <c r="H188" s="615"/>
      <c r="I188" s="622"/>
      <c r="J188" s="615"/>
      <c r="K188" s="615"/>
      <c r="L188" s="622"/>
    </row>
    <row r="189" spans="1:12" s="271" customFormat="1" ht="21.75" customHeight="1">
      <c r="A189" s="1220" t="s">
        <v>164</v>
      </c>
      <c r="B189" s="1195" t="s">
        <v>2283</v>
      </c>
      <c r="C189" s="1196" t="s">
        <v>2285</v>
      </c>
      <c r="D189" s="1197" t="s">
        <v>161</v>
      </c>
      <c r="E189" s="1198">
        <v>2</v>
      </c>
      <c r="F189" s="1198"/>
      <c r="G189" s="1199">
        <f>$E189*F189</f>
        <v>0</v>
      </c>
      <c r="H189" s="615"/>
      <c r="I189" s="622"/>
      <c r="J189" s="615"/>
      <c r="K189" s="615"/>
      <c r="L189" s="622"/>
    </row>
    <row r="190" spans="1:12" s="271" customFormat="1" ht="21.75" customHeight="1">
      <c r="A190" s="1220" t="s">
        <v>363</v>
      </c>
      <c r="B190" s="1195" t="s">
        <v>2391</v>
      </c>
      <c r="C190" s="1196" t="s">
        <v>2389</v>
      </c>
      <c r="D190" s="1197" t="s">
        <v>46</v>
      </c>
      <c r="E190" s="1198">
        <f>SUM(D191)</f>
        <v>11.3</v>
      </c>
      <c r="F190" s="1198"/>
      <c r="G190" s="1199">
        <f>$E190*F190</f>
        <v>0</v>
      </c>
      <c r="H190" s="615"/>
      <c r="I190" s="622"/>
      <c r="J190" s="615"/>
      <c r="K190" s="615"/>
      <c r="L190" s="622"/>
    </row>
    <row r="191" spans="1:12" s="595" customFormat="1" ht="21.75" customHeight="1">
      <c r="A191" s="1222"/>
      <c r="B191" s="1223"/>
      <c r="C191" s="1224" t="s">
        <v>2390</v>
      </c>
      <c r="D191" s="1225">
        <f>5.2+0.8+5.3</f>
        <v>11.3</v>
      </c>
      <c r="E191" s="1186"/>
      <c r="F191" s="1186"/>
      <c r="G191" s="1226"/>
      <c r="H191" s="922"/>
      <c r="I191" s="922"/>
      <c r="J191" s="922"/>
      <c r="K191" s="922"/>
      <c r="L191" s="922"/>
    </row>
    <row r="192" spans="1:20" s="80" customFormat="1" ht="14" thickBot="1">
      <c r="A192" s="937"/>
      <c r="B192" s="921"/>
      <c r="C192" s="981"/>
      <c r="D192" s="982"/>
      <c r="E192" s="983"/>
      <c r="F192" s="984"/>
      <c r="G192" s="985"/>
      <c r="H192" s="77"/>
      <c r="I192" s="77"/>
      <c r="J192" s="77"/>
      <c r="K192" s="77"/>
      <c r="L192" s="77"/>
      <c r="M192" s="77"/>
      <c r="N192" s="78"/>
      <c r="O192" s="79"/>
      <c r="P192" s="79"/>
      <c r="Q192" s="79"/>
      <c r="R192" s="79"/>
      <c r="S192" s="79"/>
      <c r="T192" s="79"/>
    </row>
    <row r="193" spans="1:20" s="80" customFormat="1" ht="13" thickBot="1">
      <c r="A193" s="225"/>
      <c r="B193" s="226"/>
      <c r="C193" s="227" t="s">
        <v>113</v>
      </c>
      <c r="D193" s="226"/>
      <c r="E193" s="228"/>
      <c r="F193" s="229"/>
      <c r="G193" s="230">
        <f>SUBTOTAL(9,G184:G192)</f>
        <v>0</v>
      </c>
      <c r="H193" s="77"/>
      <c r="I193" s="291"/>
      <c r="J193" s="77"/>
      <c r="K193" s="77"/>
      <c r="L193" s="77"/>
      <c r="M193" s="77"/>
      <c r="N193" s="78"/>
      <c r="O193" s="79"/>
      <c r="P193" s="79"/>
      <c r="Q193" s="79"/>
      <c r="R193" s="79"/>
      <c r="S193" s="79"/>
      <c r="T193" s="79"/>
    </row>
    <row r="194" spans="1:20" s="80" customFormat="1" ht="13" thickBot="1">
      <c r="A194" s="179"/>
      <c r="B194" s="180"/>
      <c r="C194" s="180"/>
      <c r="D194" s="180"/>
      <c r="E194" s="180"/>
      <c r="F194" s="180"/>
      <c r="G194" s="181"/>
      <c r="H194" s="77"/>
      <c r="I194" s="77"/>
      <c r="J194" s="77"/>
      <c r="K194" s="77"/>
      <c r="L194" s="77"/>
      <c r="M194" s="77"/>
      <c r="N194" s="78"/>
      <c r="O194" s="79"/>
      <c r="P194" s="79"/>
      <c r="Q194" s="79"/>
      <c r="R194" s="79"/>
      <c r="S194" s="79"/>
      <c r="T194" s="79"/>
    </row>
    <row r="195" spans="1:12" s="80" customFormat="1" ht="18.75" customHeight="1" thickBot="1">
      <c r="A195" s="182" t="s">
        <v>166</v>
      </c>
      <c r="B195" s="183" t="s">
        <v>1307</v>
      </c>
      <c r="C195" s="184" t="s">
        <v>1308</v>
      </c>
      <c r="D195" s="397"/>
      <c r="E195" s="398"/>
      <c r="F195" s="187"/>
      <c r="G195" s="399"/>
      <c r="H195" s="480"/>
      <c r="I195" s="480"/>
      <c r="J195" s="480"/>
      <c r="K195" s="480"/>
      <c r="L195" s="480"/>
    </row>
    <row r="196" spans="1:12" s="80" customFormat="1" ht="12.75">
      <c r="A196" s="189"/>
      <c r="B196" s="400"/>
      <c r="C196" s="232"/>
      <c r="D196" s="233"/>
      <c r="E196" s="401"/>
      <c r="F196" s="402"/>
      <c r="G196" s="403"/>
      <c r="H196" s="480"/>
      <c r="I196" s="480"/>
      <c r="J196" s="480"/>
      <c r="K196" s="488"/>
      <c r="L196" s="480"/>
    </row>
    <row r="197" spans="1:12" s="80" customFormat="1" ht="44">
      <c r="A197" s="937" t="s">
        <v>168</v>
      </c>
      <c r="B197" s="921" t="s">
        <v>2284</v>
      </c>
      <c r="C197" s="306" t="s">
        <v>2458</v>
      </c>
      <c r="D197" s="489" t="s">
        <v>175</v>
      </c>
      <c r="E197" s="938">
        <v>5</v>
      </c>
      <c r="F197" s="939"/>
      <c r="G197" s="1199">
        <f>$E197*F197</f>
        <v>0</v>
      </c>
      <c r="H197" s="480"/>
      <c r="I197" s="480"/>
      <c r="J197" s="480"/>
      <c r="K197" s="488"/>
      <c r="L197" s="480"/>
    </row>
    <row r="198" spans="1:12" s="80" customFormat="1" ht="14" thickBot="1">
      <c r="A198" s="1217"/>
      <c r="B198" s="1210"/>
      <c r="C198" s="1211"/>
      <c r="D198" s="1212"/>
      <c r="E198" s="1218"/>
      <c r="F198" s="1204"/>
      <c r="G198" s="1219"/>
      <c r="H198" s="480"/>
      <c r="I198" s="480"/>
      <c r="J198" s="480"/>
      <c r="K198" s="480"/>
      <c r="L198" s="480"/>
    </row>
    <row r="199" spans="1:12" s="80" customFormat="1" ht="13" thickBot="1">
      <c r="A199" s="225"/>
      <c r="B199" s="226"/>
      <c r="C199" s="227" t="s">
        <v>113</v>
      </c>
      <c r="D199" s="226"/>
      <c r="E199" s="416"/>
      <c r="F199" s="417"/>
      <c r="G199" s="230">
        <f>SUBTOTAL(9,G196:G198)</f>
        <v>0</v>
      </c>
      <c r="H199" s="480"/>
      <c r="I199" s="480"/>
      <c r="J199" s="480"/>
      <c r="K199" s="480"/>
      <c r="L199" s="480"/>
    </row>
    <row r="200" spans="1:12" s="80" customFormat="1" ht="13" thickBot="1">
      <c r="A200" s="179"/>
      <c r="B200" s="180"/>
      <c r="C200" s="180"/>
      <c r="D200" s="180"/>
      <c r="E200" s="180"/>
      <c r="F200" s="180"/>
      <c r="G200" s="396"/>
      <c r="H200" s="480"/>
      <c r="I200" s="480"/>
      <c r="J200" s="480"/>
      <c r="K200" s="480"/>
      <c r="L200" s="480"/>
    </row>
    <row r="201" spans="1:7" ht="17.25" customHeight="1" thickBot="1">
      <c r="A201" s="182" t="s">
        <v>170</v>
      </c>
      <c r="B201" s="183" t="s">
        <v>1053</v>
      </c>
      <c r="C201" s="184" t="s">
        <v>184</v>
      </c>
      <c r="D201" s="397"/>
      <c r="E201" s="398"/>
      <c r="F201" s="187"/>
      <c r="G201" s="399"/>
    </row>
    <row r="202" spans="1:7" ht="12.75">
      <c r="A202" s="189"/>
      <c r="B202" s="400"/>
      <c r="C202" s="232"/>
      <c r="D202" s="233"/>
      <c r="E202" s="401"/>
      <c r="F202" s="402"/>
      <c r="G202" s="403"/>
    </row>
    <row r="203" spans="1:12" s="271" customFormat="1" ht="32.25" customHeight="1">
      <c r="A203" s="1220" t="s">
        <v>171</v>
      </c>
      <c r="B203" s="1221" t="s">
        <v>1309</v>
      </c>
      <c r="C203" s="1196" t="s">
        <v>2212</v>
      </c>
      <c r="D203" s="1197" t="s">
        <v>46</v>
      </c>
      <c r="E203" s="1182">
        <f>SUM(D204)</f>
        <v>97.2</v>
      </c>
      <c r="F203" s="1182"/>
      <c r="G203" s="1199">
        <f>$E203*F203</f>
        <v>0</v>
      </c>
      <c r="H203" s="615"/>
      <c r="I203" s="622"/>
      <c r="J203" s="615">
        <v>0</v>
      </c>
      <c r="K203" s="243">
        <f>E203*J203</f>
        <v>0</v>
      </c>
      <c r="L203" s="622"/>
    </row>
    <row r="204" spans="1:12" s="595" customFormat="1" ht="16.5" customHeight="1">
      <c r="A204" s="1222"/>
      <c r="B204" s="1227" t="s">
        <v>2225</v>
      </c>
      <c r="C204" s="1224" t="s">
        <v>2213</v>
      </c>
      <c r="D204" s="1225">
        <f>4.5*10.8*2</f>
        <v>97.2</v>
      </c>
      <c r="E204" s="1228"/>
      <c r="F204" s="1228"/>
      <c r="G204" s="1226"/>
      <c r="H204" s="922"/>
      <c r="I204" s="922"/>
      <c r="J204" s="922"/>
      <c r="K204" s="922"/>
      <c r="L204" s="922"/>
    </row>
    <row r="205" spans="1:12" s="271" customFormat="1" ht="27" customHeight="1">
      <c r="A205" s="1220" t="s">
        <v>172</v>
      </c>
      <c r="B205" s="1221" t="s">
        <v>2214</v>
      </c>
      <c r="C205" s="1196" t="s">
        <v>2215</v>
      </c>
      <c r="D205" s="1197" t="s">
        <v>46</v>
      </c>
      <c r="E205" s="1182">
        <f>SUM(D206)</f>
        <v>99.20400000000001</v>
      </c>
      <c r="F205" s="1182"/>
      <c r="G205" s="1199">
        <f>$E205*F205</f>
        <v>0</v>
      </c>
      <c r="H205" s="615"/>
      <c r="I205" s="622"/>
      <c r="J205" s="615">
        <v>0.006</v>
      </c>
      <c r="K205" s="243">
        <f>E205*J205</f>
        <v>0.5952240000000001</v>
      </c>
      <c r="L205" s="622"/>
    </row>
    <row r="206" spans="1:12" s="595" customFormat="1" ht="16.5" customHeight="1">
      <c r="A206" s="1222"/>
      <c r="B206" s="1227"/>
      <c r="C206" s="1224" t="s">
        <v>2216</v>
      </c>
      <c r="D206" s="1225">
        <f>97.2*1.02+0.06</f>
        <v>99.20400000000001</v>
      </c>
      <c r="E206" s="1228"/>
      <c r="F206" s="1228"/>
      <c r="G206" s="1226"/>
      <c r="H206" s="922"/>
      <c r="I206" s="922"/>
      <c r="J206" s="922"/>
      <c r="K206" s="922"/>
      <c r="L206" s="922"/>
    </row>
    <row r="207" spans="1:12" s="271" customFormat="1" ht="27" customHeight="1">
      <c r="A207" s="1220" t="s">
        <v>173</v>
      </c>
      <c r="B207" s="1221" t="s">
        <v>2386</v>
      </c>
      <c r="C207" s="1196" t="s">
        <v>2446</v>
      </c>
      <c r="D207" s="1197" t="s">
        <v>46</v>
      </c>
      <c r="E207" s="1182">
        <f>SUM(D208)</f>
        <v>239.2</v>
      </c>
      <c r="F207" s="1182"/>
      <c r="G207" s="1199">
        <f>$E207*F207</f>
        <v>0</v>
      </c>
      <c r="H207" s="615"/>
      <c r="I207" s="622"/>
      <c r="J207" s="615"/>
      <c r="K207" s="243"/>
      <c r="L207" s="622"/>
    </row>
    <row r="208" spans="1:12" s="595" customFormat="1" ht="16.5" customHeight="1">
      <c r="A208" s="1222"/>
      <c r="B208" s="1227" t="s">
        <v>2224</v>
      </c>
      <c r="C208" s="1224" t="s">
        <v>2223</v>
      </c>
      <c r="D208" s="1225">
        <f>(47.6+72)*2</f>
        <v>239.2</v>
      </c>
      <c r="E208" s="1228"/>
      <c r="F208" s="1228"/>
      <c r="G208" s="1226"/>
      <c r="H208" s="922"/>
      <c r="I208" s="922"/>
      <c r="J208" s="922"/>
      <c r="K208" s="922"/>
      <c r="L208" s="922"/>
    </row>
    <row r="209" spans="1:12" s="271" customFormat="1" ht="27" customHeight="1">
      <c r="A209" s="1220" t="s">
        <v>174</v>
      </c>
      <c r="B209" s="1221" t="s">
        <v>2221</v>
      </c>
      <c r="C209" s="1196" t="s">
        <v>2222</v>
      </c>
      <c r="D209" s="1197" t="s">
        <v>46</v>
      </c>
      <c r="E209" s="1182">
        <v>244</v>
      </c>
      <c r="F209" s="1182"/>
      <c r="G209" s="1199">
        <f>$E209*F209</f>
        <v>0</v>
      </c>
      <c r="H209" s="615"/>
      <c r="I209" s="622"/>
      <c r="J209" s="615">
        <v>0.0051</v>
      </c>
      <c r="K209" s="243">
        <f>E209*J209</f>
        <v>1.2444000000000002</v>
      </c>
      <c r="L209" s="622"/>
    </row>
    <row r="210" spans="1:12" s="595" customFormat="1" ht="16.5" customHeight="1">
      <c r="A210" s="1222"/>
      <c r="B210" s="1227"/>
      <c r="C210" s="1224"/>
      <c r="D210" s="1225"/>
      <c r="E210" s="1228"/>
      <c r="F210" s="1228"/>
      <c r="G210" s="1226"/>
      <c r="H210" s="922"/>
      <c r="I210" s="922"/>
      <c r="J210" s="922"/>
      <c r="K210" s="922"/>
      <c r="L210" s="922"/>
    </row>
    <row r="211" spans="1:12" s="271" customFormat="1" ht="27" customHeight="1">
      <c r="A211" s="1220" t="s">
        <v>176</v>
      </c>
      <c r="B211" s="1221" t="s">
        <v>1094</v>
      </c>
      <c r="C211" s="1196" t="s">
        <v>1095</v>
      </c>
      <c r="D211" s="1197" t="s">
        <v>46</v>
      </c>
      <c r="E211" s="1182">
        <f>SUM(D212)</f>
        <v>391.00100000000003</v>
      </c>
      <c r="F211" s="1182"/>
      <c r="G211" s="1199">
        <f>$E211*F211</f>
        <v>0</v>
      </c>
      <c r="H211" s="615"/>
      <c r="I211" s="622"/>
      <c r="J211" s="615"/>
      <c r="K211" s="615"/>
      <c r="L211" s="622"/>
    </row>
    <row r="212" spans="1:12" s="595" customFormat="1" ht="18" customHeight="1">
      <c r="A212" s="1222"/>
      <c r="B212" s="1227" t="s">
        <v>1268</v>
      </c>
      <c r="C212" s="1224" t="s">
        <v>2229</v>
      </c>
      <c r="D212" s="1225">
        <f>(47.6+72+118.5+72.01+45.4)*1.1-0.06</f>
        <v>391.00100000000003</v>
      </c>
      <c r="E212" s="1228"/>
      <c r="F212" s="1228"/>
      <c r="G212" s="1226"/>
      <c r="H212" s="922"/>
      <c r="I212" s="922"/>
      <c r="J212" s="922"/>
      <c r="K212" s="922"/>
      <c r="L212" s="922"/>
    </row>
    <row r="213" spans="1:12" s="271" customFormat="1" ht="32.25" customHeight="1">
      <c r="A213" s="1220" t="s">
        <v>178</v>
      </c>
      <c r="B213" s="1221" t="s">
        <v>2220</v>
      </c>
      <c r="C213" s="1196" t="s">
        <v>2219</v>
      </c>
      <c r="D213" s="1197" t="s">
        <v>46</v>
      </c>
      <c r="E213" s="1182">
        <f>E211*1.1</f>
        <v>430.1011000000001</v>
      </c>
      <c r="F213" s="1182"/>
      <c r="G213" s="1199">
        <f>$E213*F213</f>
        <v>0</v>
      </c>
      <c r="H213" s="615"/>
      <c r="I213" s="622"/>
      <c r="J213" s="615"/>
      <c r="K213" s="243"/>
      <c r="L213" s="622"/>
    </row>
    <row r="214" spans="1:12" s="271" customFormat="1" ht="27" customHeight="1">
      <c r="A214" s="1220" t="s">
        <v>180</v>
      </c>
      <c r="B214" s="1221" t="s">
        <v>2226</v>
      </c>
      <c r="C214" s="1196" t="s">
        <v>2227</v>
      </c>
      <c r="D214" s="1197" t="s">
        <v>46</v>
      </c>
      <c r="E214" s="1182">
        <f>SUM(D215)</f>
        <v>391.00100000000003</v>
      </c>
      <c r="F214" s="1182"/>
      <c r="G214" s="1199">
        <f>$E214*F214</f>
        <v>0</v>
      </c>
      <c r="H214" s="615"/>
      <c r="I214" s="622"/>
      <c r="J214" s="615"/>
      <c r="K214" s="615"/>
      <c r="L214" s="622"/>
    </row>
    <row r="215" spans="1:12" s="595" customFormat="1" ht="18" customHeight="1">
      <c r="A215" s="1222"/>
      <c r="B215" s="1227" t="s">
        <v>1268</v>
      </c>
      <c r="C215" s="1224" t="s">
        <v>2229</v>
      </c>
      <c r="D215" s="1225">
        <f>(47.6+72+118.5+72.01+45.4)*1.1-0.06</f>
        <v>391.00100000000003</v>
      </c>
      <c r="E215" s="1228"/>
      <c r="F215" s="1228"/>
      <c r="G215" s="1226"/>
      <c r="H215" s="922"/>
      <c r="I215" s="922"/>
      <c r="J215" s="922"/>
      <c r="K215" s="922"/>
      <c r="L215" s="922"/>
    </row>
    <row r="216" spans="1:12" s="271" customFormat="1" ht="27" customHeight="1">
      <c r="A216" s="1220" t="s">
        <v>182</v>
      </c>
      <c r="B216" s="1221" t="s">
        <v>1096</v>
      </c>
      <c r="C216" s="1196" t="s">
        <v>1097</v>
      </c>
      <c r="D216" s="1197" t="s">
        <v>46</v>
      </c>
      <c r="E216" s="1182">
        <f>E214*1.1</f>
        <v>430.1011000000001</v>
      </c>
      <c r="F216" s="1182"/>
      <c r="G216" s="1199">
        <f>$E216*F216</f>
        <v>0</v>
      </c>
      <c r="H216" s="615"/>
      <c r="I216" s="622"/>
      <c r="J216" s="615"/>
      <c r="K216" s="615"/>
      <c r="L216" s="622"/>
    </row>
    <row r="217" spans="1:12" s="595" customFormat="1" ht="18" customHeight="1">
      <c r="A217" s="1222"/>
      <c r="B217" s="1227"/>
      <c r="C217" s="1224"/>
      <c r="D217" s="1225"/>
      <c r="E217" s="1228"/>
      <c r="F217" s="1228"/>
      <c r="G217" s="1226"/>
      <c r="H217" s="922"/>
      <c r="I217" s="922"/>
      <c r="J217" s="922"/>
      <c r="K217" s="922"/>
      <c r="L217" s="922"/>
    </row>
    <row r="218" spans="1:12" s="271" customFormat="1" ht="17.25" customHeight="1">
      <c r="A218" s="1220" t="s">
        <v>1856</v>
      </c>
      <c r="B218" s="1221" t="s">
        <v>190</v>
      </c>
      <c r="C218" s="1196" t="s">
        <v>1099</v>
      </c>
      <c r="D218" s="1197" t="s">
        <v>73</v>
      </c>
      <c r="E218" s="1182">
        <f>K218</f>
        <v>1.8396240000000001</v>
      </c>
      <c r="F218" s="1182"/>
      <c r="G218" s="1199">
        <f>$E218*F218</f>
        <v>0</v>
      </c>
      <c r="H218" s="615"/>
      <c r="I218" s="622"/>
      <c r="J218" s="622"/>
      <c r="K218" s="623">
        <f>SUM(K202:K217)</f>
        <v>1.8396240000000001</v>
      </c>
      <c r="L218" s="622"/>
    </row>
    <row r="219" spans="1:7" ht="14" thickBot="1">
      <c r="A219" s="1217"/>
      <c r="B219" s="1210"/>
      <c r="C219" s="1211"/>
      <c r="D219" s="1212"/>
      <c r="E219" s="1218"/>
      <c r="F219" s="1204"/>
      <c r="G219" s="1219"/>
    </row>
    <row r="220" spans="1:7" ht="13" thickBot="1">
      <c r="A220" s="225"/>
      <c r="B220" s="226"/>
      <c r="C220" s="227" t="s">
        <v>113</v>
      </c>
      <c r="D220" s="226"/>
      <c r="E220" s="416"/>
      <c r="F220" s="417"/>
      <c r="G220" s="230">
        <f>SUBTOTAL(9,G202:G219)</f>
        <v>0</v>
      </c>
    </row>
    <row r="221" spans="1:7" ht="13" thickBot="1">
      <c r="A221" s="179"/>
      <c r="B221" s="180"/>
      <c r="C221" s="180"/>
      <c r="D221" s="180"/>
      <c r="E221" s="180"/>
      <c r="F221" s="180"/>
      <c r="G221" s="396"/>
    </row>
    <row r="222" spans="1:7" ht="20.25" customHeight="1" thickBot="1">
      <c r="A222" s="182" t="s">
        <v>183</v>
      </c>
      <c r="B222" s="183">
        <v>762</v>
      </c>
      <c r="C222" s="184" t="s">
        <v>1057</v>
      </c>
      <c r="D222" s="397"/>
      <c r="E222" s="398"/>
      <c r="F222" s="187"/>
      <c r="G222" s="399"/>
    </row>
    <row r="223" spans="1:7" ht="12.75">
      <c r="A223" s="189"/>
      <c r="B223" s="400"/>
      <c r="C223" s="232"/>
      <c r="D223" s="233"/>
      <c r="E223" s="401"/>
      <c r="F223" s="402"/>
      <c r="G223" s="403"/>
    </row>
    <row r="224" spans="1:12" s="271" customFormat="1" ht="27" customHeight="1">
      <c r="A224" s="1220" t="s">
        <v>185</v>
      </c>
      <c r="B224" s="1221" t="s">
        <v>1310</v>
      </c>
      <c r="C224" s="1196" t="s">
        <v>1311</v>
      </c>
      <c r="D224" s="1197" t="s">
        <v>46</v>
      </c>
      <c r="E224" s="1182">
        <f>SUM(D225:D227)</f>
        <v>355.5</v>
      </c>
      <c r="F224" s="1182"/>
      <c r="G224" s="1199">
        <f>$E224*F224</f>
        <v>0</v>
      </c>
      <c r="H224" s="615">
        <v>0</v>
      </c>
      <c r="I224" s="622"/>
      <c r="J224" s="615">
        <v>0</v>
      </c>
      <c r="K224" s="243">
        <f>E224*J224</f>
        <v>0</v>
      </c>
      <c r="L224" s="622"/>
    </row>
    <row r="225" spans="1:12" s="595" customFormat="1" ht="18" customHeight="1">
      <c r="A225" s="1222"/>
      <c r="B225" s="1227" t="s">
        <v>1312</v>
      </c>
      <c r="C225" s="1224" t="s">
        <v>2228</v>
      </c>
      <c r="D225" s="1225">
        <f>47.6+72</f>
        <v>119.6</v>
      </c>
      <c r="E225" s="1228"/>
      <c r="F225" s="1228"/>
      <c r="G225" s="1226"/>
      <c r="H225" s="922"/>
      <c r="I225" s="922"/>
      <c r="J225" s="922"/>
      <c r="K225" s="922"/>
      <c r="L225" s="922"/>
    </row>
    <row r="226" spans="1:12" s="595" customFormat="1" ht="18" customHeight="1">
      <c r="A226" s="1222"/>
      <c r="B226" s="1227" t="s">
        <v>1313</v>
      </c>
      <c r="C226" s="1229" t="s">
        <v>2230</v>
      </c>
      <c r="D226" s="1225">
        <f>118.5+72</f>
        <v>190.5</v>
      </c>
      <c r="E226" s="1228"/>
      <c r="F226" s="1228"/>
      <c r="G226" s="1226"/>
      <c r="H226" s="922"/>
      <c r="I226" s="922"/>
      <c r="J226" s="922"/>
      <c r="K226" s="922"/>
      <c r="L226" s="922"/>
    </row>
    <row r="227" spans="1:12" s="595" customFormat="1" ht="18" customHeight="1">
      <c r="A227" s="1222"/>
      <c r="B227" s="1227" t="s">
        <v>1314</v>
      </c>
      <c r="C227" s="1229">
        <v>45.4</v>
      </c>
      <c r="D227" s="1225">
        <v>45.4</v>
      </c>
      <c r="E227" s="1228"/>
      <c r="F227" s="1228"/>
      <c r="G227" s="1226"/>
      <c r="H227" s="922"/>
      <c r="I227" s="922"/>
      <c r="J227" s="922"/>
      <c r="K227" s="922"/>
      <c r="L227" s="922"/>
    </row>
    <row r="228" spans="1:12" s="271" customFormat="1" ht="27" customHeight="1">
      <c r="A228" s="1220" t="s">
        <v>187</v>
      </c>
      <c r="B228" s="1221" t="s">
        <v>1315</v>
      </c>
      <c r="C228" s="1196" t="s">
        <v>1316</v>
      </c>
      <c r="D228" s="1197" t="s">
        <v>52</v>
      </c>
      <c r="E228" s="1182">
        <f>SUM(D229)</f>
        <v>9.598500000000001</v>
      </c>
      <c r="F228" s="1182"/>
      <c r="G228" s="1199">
        <f>$E228*F228</f>
        <v>0</v>
      </c>
      <c r="H228" s="615">
        <v>0.55</v>
      </c>
      <c r="I228" s="622"/>
      <c r="J228" s="615">
        <v>0.55</v>
      </c>
      <c r="K228" s="243">
        <f>E228*J228</f>
        <v>5.279175000000001</v>
      </c>
      <c r="L228" s="622"/>
    </row>
    <row r="229" spans="1:12" s="595" customFormat="1" ht="18" customHeight="1">
      <c r="A229" s="1222"/>
      <c r="B229" s="1227" t="s">
        <v>1268</v>
      </c>
      <c r="C229" s="1224" t="s">
        <v>2231</v>
      </c>
      <c r="D229" s="1225">
        <f>355.5*0.025*1.08</f>
        <v>9.598500000000001</v>
      </c>
      <c r="E229" s="1228"/>
      <c r="F229" s="1228"/>
      <c r="G229" s="1226"/>
      <c r="H229" s="922"/>
      <c r="I229" s="922"/>
      <c r="J229" s="922"/>
      <c r="K229" s="922"/>
      <c r="L229" s="922"/>
    </row>
    <row r="230" spans="1:12" s="271" customFormat="1" ht="32.25" customHeight="1">
      <c r="A230" s="1220" t="s">
        <v>189</v>
      </c>
      <c r="B230" s="1221" t="s">
        <v>2232</v>
      </c>
      <c r="C230" s="1196" t="s">
        <v>2233</v>
      </c>
      <c r="D230" s="1197" t="s">
        <v>46</v>
      </c>
      <c r="E230" s="1182">
        <f>SUM(D231)</f>
        <v>355.5</v>
      </c>
      <c r="F230" s="1182"/>
      <c r="G230" s="1199">
        <f>$E230*F230</f>
        <v>0</v>
      </c>
      <c r="H230" s="615">
        <v>0</v>
      </c>
      <c r="I230" s="622"/>
      <c r="J230" s="615">
        <v>0</v>
      </c>
      <c r="K230" s="243">
        <f>E230*J230</f>
        <v>0</v>
      </c>
      <c r="L230" s="622"/>
    </row>
    <row r="231" spans="1:12" s="595" customFormat="1" ht="18" customHeight="1">
      <c r="A231" s="1222"/>
      <c r="B231" s="1227" t="s">
        <v>1268</v>
      </c>
      <c r="C231" s="1224" t="s">
        <v>2236</v>
      </c>
      <c r="D231" s="1225">
        <f>(119.6+190.5+45.4)</f>
        <v>355.5</v>
      </c>
      <c r="E231" s="1228"/>
      <c r="F231" s="1228"/>
      <c r="G231" s="1226"/>
      <c r="H231" s="922"/>
      <c r="I231" s="922"/>
      <c r="J231" s="922"/>
      <c r="K231" s="922"/>
      <c r="L231" s="922"/>
    </row>
    <row r="232" spans="1:12" s="271" customFormat="1" ht="27" customHeight="1">
      <c r="A232" s="1220" t="s">
        <v>282</v>
      </c>
      <c r="B232" s="1221" t="s">
        <v>2234</v>
      </c>
      <c r="C232" s="1196" t="s">
        <v>2235</v>
      </c>
      <c r="D232" s="1197" t="s">
        <v>52</v>
      </c>
      <c r="E232" s="1182">
        <f>SUM(D233)</f>
        <v>3.3172416000000005</v>
      </c>
      <c r="F232" s="1182"/>
      <c r="G232" s="1199">
        <f>$E232*F232</f>
        <v>0</v>
      </c>
      <c r="H232" s="615">
        <v>0.55</v>
      </c>
      <c r="I232" s="622"/>
      <c r="J232" s="615">
        <v>0.55</v>
      </c>
      <c r="K232" s="243">
        <f>E232*J232</f>
        <v>1.8244828800000004</v>
      </c>
      <c r="L232" s="622"/>
    </row>
    <row r="233" spans="1:12" s="595" customFormat="1" ht="18" customHeight="1">
      <c r="A233" s="1222"/>
      <c r="B233" s="1227" t="s">
        <v>1268</v>
      </c>
      <c r="C233" s="1224" t="s">
        <v>2237</v>
      </c>
      <c r="D233" s="1225">
        <f>355.5*3.6*0.04*0.06*1.08</f>
        <v>3.3172416000000005</v>
      </c>
      <c r="E233" s="1228"/>
      <c r="F233" s="1228"/>
      <c r="G233" s="1226"/>
      <c r="H233" s="922"/>
      <c r="I233" s="922"/>
      <c r="J233" s="922"/>
      <c r="K233" s="922"/>
      <c r="L233" s="922"/>
    </row>
    <row r="234" spans="1:12" s="271" customFormat="1" ht="27" customHeight="1">
      <c r="A234" s="1220" t="s">
        <v>283</v>
      </c>
      <c r="B234" s="1221" t="s">
        <v>1317</v>
      </c>
      <c r="C234" s="1196" t="s">
        <v>1318</v>
      </c>
      <c r="D234" s="1197" t="s">
        <v>243</v>
      </c>
      <c r="E234" s="1182">
        <v>40</v>
      </c>
      <c r="F234" s="1182"/>
      <c r="G234" s="1199">
        <f>$E234*F234</f>
        <v>0</v>
      </c>
      <c r="H234" s="615"/>
      <c r="I234" s="622"/>
      <c r="J234" s="615"/>
      <c r="K234" s="615"/>
      <c r="L234" s="622"/>
    </row>
    <row r="235" spans="1:12" s="271" customFormat="1" ht="19.5" customHeight="1">
      <c r="A235" s="1220" t="s">
        <v>284</v>
      </c>
      <c r="B235" s="1221" t="s">
        <v>2309</v>
      </c>
      <c r="C235" s="1196" t="s">
        <v>1319</v>
      </c>
      <c r="D235" s="1197" t="s">
        <v>243</v>
      </c>
      <c r="E235" s="1182">
        <v>40</v>
      </c>
      <c r="F235" s="1182"/>
      <c r="G235" s="1199">
        <f>$E235*F235</f>
        <v>0</v>
      </c>
      <c r="H235" s="615"/>
      <c r="I235" s="622"/>
      <c r="J235" s="615"/>
      <c r="K235" s="615"/>
      <c r="L235" s="622"/>
    </row>
    <row r="236" spans="1:12" s="271" customFormat="1" ht="37.5" customHeight="1">
      <c r="A236" s="1220" t="s">
        <v>285</v>
      </c>
      <c r="B236" s="1221" t="s">
        <v>2310</v>
      </c>
      <c r="C236" s="1196" t="s">
        <v>2308</v>
      </c>
      <c r="D236" s="1197" t="s">
        <v>243</v>
      </c>
      <c r="E236" s="1182">
        <v>80</v>
      </c>
      <c r="F236" s="1182"/>
      <c r="G236" s="1199">
        <f>$E236*F236</f>
        <v>0</v>
      </c>
      <c r="H236" s="615"/>
      <c r="I236" s="622"/>
      <c r="J236" s="615"/>
      <c r="K236" s="615"/>
      <c r="L236" s="622"/>
    </row>
    <row r="237" spans="1:12" s="271" customFormat="1" ht="27" customHeight="1">
      <c r="A237" s="1220" t="s">
        <v>286</v>
      </c>
      <c r="B237" s="1221" t="s">
        <v>1320</v>
      </c>
      <c r="C237" s="1196" t="s">
        <v>1321</v>
      </c>
      <c r="D237" s="1197" t="s">
        <v>73</v>
      </c>
      <c r="E237" s="1182">
        <f>K237</f>
        <v>7.103657880000002</v>
      </c>
      <c r="F237" s="1182"/>
      <c r="G237" s="1199">
        <f>$E237*F237</f>
        <v>0</v>
      </c>
      <c r="H237" s="615"/>
      <c r="I237" s="622"/>
      <c r="J237" s="615"/>
      <c r="K237" s="623">
        <f>SUM(K223:K235)</f>
        <v>7.103657880000002</v>
      </c>
      <c r="L237" s="622"/>
    </row>
    <row r="238" spans="1:7" ht="14" thickBot="1">
      <c r="A238" s="1217"/>
      <c r="B238" s="1210"/>
      <c r="C238" s="1211"/>
      <c r="D238" s="1212"/>
      <c r="E238" s="1218"/>
      <c r="F238" s="1204"/>
      <c r="G238" s="1219"/>
    </row>
    <row r="239" spans="1:7" ht="17.25" customHeight="1" thickBot="1">
      <c r="A239" s="225"/>
      <c r="B239" s="226"/>
      <c r="C239" s="227" t="s">
        <v>113</v>
      </c>
      <c r="D239" s="226"/>
      <c r="E239" s="416"/>
      <c r="F239" s="417"/>
      <c r="G239" s="230">
        <f>SUBTOTAL(9,G223:G238)</f>
        <v>0</v>
      </c>
    </row>
    <row r="240" spans="1:7" ht="13" thickBot="1">
      <c r="A240" s="179"/>
      <c r="B240" s="180"/>
      <c r="C240" s="180"/>
      <c r="D240" s="180"/>
      <c r="E240" s="180"/>
      <c r="F240" s="180"/>
      <c r="G240" s="396"/>
    </row>
    <row r="241" spans="1:7" ht="18.75" customHeight="1" thickBot="1">
      <c r="A241" s="182" t="s">
        <v>139</v>
      </c>
      <c r="B241" s="183">
        <v>764</v>
      </c>
      <c r="C241" s="184" t="s">
        <v>1322</v>
      </c>
      <c r="D241" s="397"/>
      <c r="E241" s="398"/>
      <c r="F241" s="187"/>
      <c r="G241" s="399"/>
    </row>
    <row r="242" spans="1:7" ht="12.75">
      <c r="A242" s="189"/>
      <c r="B242" s="400"/>
      <c r="C242" s="232"/>
      <c r="D242" s="233"/>
      <c r="E242" s="401"/>
      <c r="F242" s="402"/>
      <c r="G242" s="403"/>
    </row>
    <row r="243" spans="1:20" s="204" customFormat="1" ht="23.25" customHeight="1">
      <c r="A243" s="1189" t="s">
        <v>192</v>
      </c>
      <c r="B243" s="1201" t="s">
        <v>1441</v>
      </c>
      <c r="C243" s="1230" t="s">
        <v>1442</v>
      </c>
      <c r="D243" s="1231" t="s">
        <v>46</v>
      </c>
      <c r="E243" s="1232">
        <v>47.5</v>
      </c>
      <c r="F243" s="1232"/>
      <c r="G243" s="1199">
        <f>$E243*F243</f>
        <v>0</v>
      </c>
      <c r="H243" s="201">
        <v>0</v>
      </c>
      <c r="I243" s="201">
        <f>E243*H243</f>
        <v>0</v>
      </c>
      <c r="J243" s="85">
        <v>0.00594</v>
      </c>
      <c r="K243" s="85">
        <f>E243*J243</f>
        <v>0.28215</v>
      </c>
      <c r="L243" s="85"/>
      <c r="M243" s="85"/>
      <c r="N243" s="202"/>
      <c r="O243" s="203"/>
      <c r="P243" s="203"/>
      <c r="Q243" s="203"/>
      <c r="R243" s="203"/>
      <c r="S243" s="203"/>
      <c r="T243" s="203"/>
    </row>
    <row r="244" spans="1:20" s="204" customFormat="1" ht="23.25" customHeight="1">
      <c r="A244" s="1189" t="s">
        <v>193</v>
      </c>
      <c r="B244" s="1201" t="s">
        <v>1443</v>
      </c>
      <c r="C244" s="1230" t="s">
        <v>1444</v>
      </c>
      <c r="D244" s="1231" t="s">
        <v>116</v>
      </c>
      <c r="E244" s="1232">
        <f>14.5+12.8+9.6</f>
        <v>36.9</v>
      </c>
      <c r="F244" s="1232"/>
      <c r="G244" s="1199">
        <f>$E244*F244</f>
        <v>0</v>
      </c>
      <c r="H244" s="201">
        <v>0</v>
      </c>
      <c r="I244" s="201">
        <f>E244*H244</f>
        <v>0</v>
      </c>
      <c r="J244" s="85">
        <v>0.00177</v>
      </c>
      <c r="K244" s="85">
        <f>E244*J244</f>
        <v>0.065313</v>
      </c>
      <c r="L244" s="85"/>
      <c r="M244" s="85"/>
      <c r="N244" s="202"/>
      <c r="O244" s="203"/>
      <c r="P244" s="203"/>
      <c r="Q244" s="203"/>
      <c r="R244" s="203"/>
      <c r="S244" s="203"/>
      <c r="T244" s="203"/>
    </row>
    <row r="245" spans="1:20" s="204" customFormat="1" ht="23.25" customHeight="1">
      <c r="A245" s="1189" t="s">
        <v>194</v>
      </c>
      <c r="B245" s="1201" t="s">
        <v>1445</v>
      </c>
      <c r="C245" s="1230" t="s">
        <v>1446</v>
      </c>
      <c r="D245" s="1231" t="s">
        <v>116</v>
      </c>
      <c r="E245" s="1232">
        <v>44.6</v>
      </c>
      <c r="F245" s="1232"/>
      <c r="G245" s="1199">
        <f>$E245*F245</f>
        <v>0</v>
      </c>
      <c r="H245" s="201">
        <v>0</v>
      </c>
      <c r="I245" s="201">
        <f>E245*H245</f>
        <v>0</v>
      </c>
      <c r="J245" s="85">
        <v>0.00167</v>
      </c>
      <c r="K245" s="85">
        <f>E245*J245</f>
        <v>0.074482</v>
      </c>
      <c r="L245" s="85"/>
      <c r="M245" s="85"/>
      <c r="N245" s="202"/>
      <c r="O245" s="203"/>
      <c r="P245" s="203"/>
      <c r="Q245" s="203"/>
      <c r="R245" s="203"/>
      <c r="S245" s="203"/>
      <c r="T245" s="203"/>
    </row>
    <row r="246" spans="1:20" s="204" customFormat="1" ht="23.25" customHeight="1">
      <c r="A246" s="1189" t="s">
        <v>195</v>
      </c>
      <c r="B246" s="1201" t="s">
        <v>1447</v>
      </c>
      <c r="C246" s="1230" t="s">
        <v>1448</v>
      </c>
      <c r="D246" s="1231" t="s">
        <v>116</v>
      </c>
      <c r="E246" s="1232">
        <v>42.2</v>
      </c>
      <c r="F246" s="1232"/>
      <c r="G246" s="1199">
        <f>$E246*F246</f>
        <v>0</v>
      </c>
      <c r="H246" s="201">
        <v>0</v>
      </c>
      <c r="I246" s="201">
        <f>E246*H246</f>
        <v>0</v>
      </c>
      <c r="J246" s="85">
        <v>0.00394</v>
      </c>
      <c r="K246" s="85">
        <f>E246*J246</f>
        <v>0.166268</v>
      </c>
      <c r="L246" s="85"/>
      <c r="M246" s="85"/>
      <c r="N246" s="202"/>
      <c r="O246" s="203"/>
      <c r="P246" s="203"/>
      <c r="Q246" s="203"/>
      <c r="R246" s="203"/>
      <c r="S246" s="203"/>
      <c r="T246" s="203"/>
    </row>
    <row r="247" spans="1:20" s="204" customFormat="1" ht="23.25" customHeight="1">
      <c r="A247" s="1189" t="s">
        <v>289</v>
      </c>
      <c r="B247" s="1201">
        <v>764004803</v>
      </c>
      <c r="C247" s="1230" t="s">
        <v>2311</v>
      </c>
      <c r="D247" s="1231" t="s">
        <v>116</v>
      </c>
      <c r="E247" s="1232">
        <f>108.3+24.5*2+0.7</f>
        <v>158</v>
      </c>
      <c r="F247" s="1232"/>
      <c r="G247" s="1199">
        <f>$E247*F247</f>
        <v>0</v>
      </c>
      <c r="H247" s="201"/>
      <c r="I247" s="201"/>
      <c r="J247" s="85"/>
      <c r="K247" s="85"/>
      <c r="L247" s="85"/>
      <c r="M247" s="85"/>
      <c r="N247" s="202"/>
      <c r="O247" s="203"/>
      <c r="P247" s="203"/>
      <c r="Q247" s="203"/>
      <c r="R247" s="203"/>
      <c r="S247" s="203"/>
      <c r="T247" s="203"/>
    </row>
    <row r="248" spans="1:20" s="204" customFormat="1" ht="14.25" customHeight="1">
      <c r="A248" s="1189"/>
      <c r="B248" s="1201"/>
      <c r="C248" s="1230"/>
      <c r="D248" s="1231"/>
      <c r="E248" s="1232"/>
      <c r="F248" s="1232"/>
      <c r="G248" s="1206"/>
      <c r="H248" s="201"/>
      <c r="I248" s="201"/>
      <c r="J248" s="85"/>
      <c r="K248" s="85">
        <f>SUM(K243:K245)</f>
        <v>0.421945</v>
      </c>
      <c r="L248" s="85"/>
      <c r="M248" s="85"/>
      <c r="N248" s="202"/>
      <c r="O248" s="203"/>
      <c r="P248" s="203"/>
      <c r="Q248" s="203"/>
      <c r="R248" s="203"/>
      <c r="S248" s="203"/>
      <c r="T248" s="203"/>
    </row>
    <row r="249" spans="1:12" s="920" customFormat="1" ht="27" customHeight="1">
      <c r="A249" s="1233" t="s">
        <v>290</v>
      </c>
      <c r="B249" s="1234" t="s">
        <v>1268</v>
      </c>
      <c r="C249" s="1235" t="s">
        <v>1269</v>
      </c>
      <c r="D249" s="1236"/>
      <c r="E249" s="1237"/>
      <c r="F249" s="1237"/>
      <c r="G249" s="1238"/>
      <c r="H249" s="623"/>
      <c r="I249" s="923"/>
      <c r="J249" s="623"/>
      <c r="K249" s="623"/>
      <c r="L249" s="923"/>
    </row>
    <row r="250" spans="1:12" s="271" customFormat="1" ht="27" customHeight="1">
      <c r="A250" s="1239" t="s">
        <v>2312</v>
      </c>
      <c r="B250" s="1240" t="s">
        <v>1270</v>
      </c>
      <c r="C250" s="1241" t="s">
        <v>1271</v>
      </c>
      <c r="D250" s="1242" t="s">
        <v>46</v>
      </c>
      <c r="E250" s="1243">
        <v>355</v>
      </c>
      <c r="F250" s="1243"/>
      <c r="G250" s="1244">
        <f aca="true" t="shared" si="8" ref="G250:G263">$E250*F250</f>
        <v>0</v>
      </c>
      <c r="H250" s="615"/>
      <c r="I250" s="622"/>
      <c r="J250" s="615"/>
      <c r="K250" s="615"/>
      <c r="L250" s="622"/>
    </row>
    <row r="251" spans="1:12" s="271" customFormat="1" ht="27" customHeight="1">
      <c r="A251" s="1239" t="s">
        <v>2313</v>
      </c>
      <c r="B251" s="1240" t="s">
        <v>1272</v>
      </c>
      <c r="C251" s="1241" t="s">
        <v>1273</v>
      </c>
      <c r="D251" s="1242" t="s">
        <v>116</v>
      </c>
      <c r="E251" s="1243">
        <v>65</v>
      </c>
      <c r="F251" s="1243"/>
      <c r="G251" s="1244">
        <f t="shared" si="8"/>
        <v>0</v>
      </c>
      <c r="H251" s="615"/>
      <c r="I251" s="622"/>
      <c r="J251" s="615"/>
      <c r="K251" s="615"/>
      <c r="L251" s="622"/>
    </row>
    <row r="252" spans="1:12" s="271" customFormat="1" ht="27" customHeight="1">
      <c r="A252" s="1239" t="s">
        <v>2314</v>
      </c>
      <c r="B252" s="1240" t="s">
        <v>1274</v>
      </c>
      <c r="C252" s="1241" t="s">
        <v>1275</v>
      </c>
      <c r="D252" s="1242" t="s">
        <v>116</v>
      </c>
      <c r="E252" s="1243">
        <v>64</v>
      </c>
      <c r="F252" s="1243"/>
      <c r="G252" s="1244">
        <f t="shared" si="8"/>
        <v>0</v>
      </c>
      <c r="H252" s="615"/>
      <c r="I252" s="622"/>
      <c r="J252" s="615"/>
      <c r="K252" s="615"/>
      <c r="L252" s="622"/>
    </row>
    <row r="253" spans="1:12" s="271" customFormat="1" ht="27" customHeight="1">
      <c r="A253" s="1239" t="s">
        <v>2315</v>
      </c>
      <c r="B253" s="1240" t="s">
        <v>1276</v>
      </c>
      <c r="C253" s="1241" t="s">
        <v>1277</v>
      </c>
      <c r="D253" s="1242" t="s">
        <v>116</v>
      </c>
      <c r="E253" s="1243">
        <v>22</v>
      </c>
      <c r="F253" s="1243"/>
      <c r="G253" s="1244">
        <f t="shared" si="8"/>
        <v>0</v>
      </c>
      <c r="H253" s="615"/>
      <c r="I253" s="622"/>
      <c r="J253" s="615"/>
      <c r="K253" s="615"/>
      <c r="L253" s="622"/>
    </row>
    <row r="254" spans="1:12" s="271" customFormat="1" ht="27" customHeight="1">
      <c r="A254" s="1239" t="s">
        <v>2316</v>
      </c>
      <c r="B254" s="1240" t="s">
        <v>1278</v>
      </c>
      <c r="C254" s="1241" t="s">
        <v>1279</v>
      </c>
      <c r="D254" s="1242" t="s">
        <v>116</v>
      </c>
      <c r="E254" s="1243">
        <v>6</v>
      </c>
      <c r="F254" s="1243"/>
      <c r="G254" s="1244">
        <f t="shared" si="8"/>
        <v>0</v>
      </c>
      <c r="H254" s="615"/>
      <c r="I254" s="622"/>
      <c r="J254" s="615"/>
      <c r="K254" s="615"/>
      <c r="L254" s="622"/>
    </row>
    <row r="255" spans="1:12" s="271" customFormat="1" ht="27" customHeight="1">
      <c r="A255" s="1239" t="s">
        <v>2317</v>
      </c>
      <c r="B255" s="1240" t="s">
        <v>1280</v>
      </c>
      <c r="C255" s="1241" t="s">
        <v>1281</v>
      </c>
      <c r="D255" s="1242" t="s">
        <v>116</v>
      </c>
      <c r="E255" s="1243">
        <v>48</v>
      </c>
      <c r="F255" s="1243"/>
      <c r="G255" s="1244">
        <f t="shared" si="8"/>
        <v>0</v>
      </c>
      <c r="H255" s="615"/>
      <c r="I255" s="622"/>
      <c r="J255" s="615"/>
      <c r="K255" s="615"/>
      <c r="L255" s="622"/>
    </row>
    <row r="256" spans="1:12" s="271" customFormat="1" ht="27" customHeight="1">
      <c r="A256" s="1239" t="s">
        <v>2318</v>
      </c>
      <c r="B256" s="1240" t="s">
        <v>1282</v>
      </c>
      <c r="C256" s="1241" t="s">
        <v>1283</v>
      </c>
      <c r="D256" s="1242" t="s">
        <v>116</v>
      </c>
      <c r="E256" s="1243">
        <v>64</v>
      </c>
      <c r="F256" s="1243"/>
      <c r="G256" s="1244">
        <f t="shared" si="8"/>
        <v>0</v>
      </c>
      <c r="H256" s="615"/>
      <c r="I256" s="622"/>
      <c r="J256" s="615"/>
      <c r="K256" s="615"/>
      <c r="L256" s="622"/>
    </row>
    <row r="257" spans="1:12" s="271" customFormat="1" ht="27" customHeight="1">
      <c r="A257" s="1239" t="s">
        <v>2319</v>
      </c>
      <c r="B257" s="1240" t="s">
        <v>1284</v>
      </c>
      <c r="C257" s="1241" t="s">
        <v>1285</v>
      </c>
      <c r="D257" s="1242" t="s">
        <v>116</v>
      </c>
      <c r="E257" s="1243">
        <v>50</v>
      </c>
      <c r="F257" s="1243"/>
      <c r="G257" s="1244">
        <f t="shared" si="8"/>
        <v>0</v>
      </c>
      <c r="H257" s="615"/>
      <c r="I257" s="622"/>
      <c r="J257" s="615"/>
      <c r="K257" s="615"/>
      <c r="L257" s="622"/>
    </row>
    <row r="258" spans="1:12" s="271" customFormat="1" ht="27" customHeight="1">
      <c r="A258" s="1239" t="s">
        <v>2320</v>
      </c>
      <c r="B258" s="1240" t="s">
        <v>1286</v>
      </c>
      <c r="C258" s="1241" t="s">
        <v>1287</v>
      </c>
      <c r="D258" s="1242" t="s">
        <v>116</v>
      </c>
      <c r="E258" s="1243">
        <v>6</v>
      </c>
      <c r="F258" s="1243"/>
      <c r="G258" s="1244">
        <f t="shared" si="8"/>
        <v>0</v>
      </c>
      <c r="H258" s="615"/>
      <c r="I258" s="622"/>
      <c r="J258" s="615"/>
      <c r="K258" s="615"/>
      <c r="L258" s="622"/>
    </row>
    <row r="259" spans="1:12" s="271" customFormat="1" ht="27" customHeight="1">
      <c r="A259" s="1239" t="s">
        <v>2321</v>
      </c>
      <c r="B259" s="1240" t="s">
        <v>1288</v>
      </c>
      <c r="C259" s="1241" t="s">
        <v>1289</v>
      </c>
      <c r="D259" s="1242" t="s">
        <v>46</v>
      </c>
      <c r="E259" s="1243">
        <v>2</v>
      </c>
      <c r="F259" s="1243"/>
      <c r="G259" s="1244">
        <f t="shared" si="8"/>
        <v>0</v>
      </c>
      <c r="H259" s="615"/>
      <c r="I259" s="622"/>
      <c r="J259" s="615"/>
      <c r="K259" s="615"/>
      <c r="L259" s="622"/>
    </row>
    <row r="260" spans="1:12" s="271" customFormat="1" ht="27" customHeight="1">
      <c r="A260" s="1239" t="s">
        <v>2322</v>
      </c>
      <c r="B260" s="1240" t="s">
        <v>1290</v>
      </c>
      <c r="C260" s="1241" t="s">
        <v>1291</v>
      </c>
      <c r="D260" s="1242" t="s">
        <v>175</v>
      </c>
      <c r="E260" s="1243">
        <v>4</v>
      </c>
      <c r="F260" s="1243"/>
      <c r="G260" s="1244">
        <f t="shared" si="8"/>
        <v>0</v>
      </c>
      <c r="H260" s="615"/>
      <c r="I260" s="622"/>
      <c r="J260" s="615"/>
      <c r="K260" s="615"/>
      <c r="L260" s="622"/>
    </row>
    <row r="261" spans="1:12" s="271" customFormat="1" ht="22.5" customHeight="1">
      <c r="A261" s="1239" t="s">
        <v>2323</v>
      </c>
      <c r="B261" s="1240" t="s">
        <v>1292</v>
      </c>
      <c r="C261" s="1241" t="s">
        <v>1293</v>
      </c>
      <c r="D261" s="1242" t="s">
        <v>175</v>
      </c>
      <c r="E261" s="1243">
        <v>4</v>
      </c>
      <c r="F261" s="1243"/>
      <c r="G261" s="1244">
        <f t="shared" si="8"/>
        <v>0</v>
      </c>
      <c r="H261" s="615"/>
      <c r="I261" s="622"/>
      <c r="J261" s="615"/>
      <c r="K261" s="615"/>
      <c r="L261" s="622"/>
    </row>
    <row r="262" spans="1:12" s="271" customFormat="1" ht="22.5" customHeight="1">
      <c r="A262" s="1239" t="s">
        <v>2324</v>
      </c>
      <c r="B262" s="1240" t="s">
        <v>1294</v>
      </c>
      <c r="C262" s="1241" t="s">
        <v>1295</v>
      </c>
      <c r="D262" s="1242" t="s">
        <v>175</v>
      </c>
      <c r="E262" s="1243">
        <v>1</v>
      </c>
      <c r="F262" s="1243"/>
      <c r="G262" s="1244">
        <f t="shared" si="8"/>
        <v>0</v>
      </c>
      <c r="H262" s="615"/>
      <c r="I262" s="622"/>
      <c r="J262" s="615"/>
      <c r="K262" s="615"/>
      <c r="L262" s="622"/>
    </row>
    <row r="263" spans="1:12" s="271" customFormat="1" ht="22.5" customHeight="1">
      <c r="A263" s="1239" t="s">
        <v>2325</v>
      </c>
      <c r="B263" s="1240" t="s">
        <v>1296</v>
      </c>
      <c r="C263" s="1241" t="s">
        <v>1297</v>
      </c>
      <c r="D263" s="1242" t="s">
        <v>175</v>
      </c>
      <c r="E263" s="1243">
        <v>2</v>
      </c>
      <c r="F263" s="1243"/>
      <c r="G263" s="1244">
        <f t="shared" si="8"/>
        <v>0</v>
      </c>
      <c r="H263" s="615"/>
      <c r="I263" s="622"/>
      <c r="J263" s="615"/>
      <c r="K263" s="615"/>
      <c r="L263" s="622"/>
    </row>
    <row r="264" spans="1:12" s="271" customFormat="1" ht="12" customHeight="1">
      <c r="A264" s="1239"/>
      <c r="B264" s="1240"/>
      <c r="C264" s="1241"/>
      <c r="D264" s="1242"/>
      <c r="E264" s="1243"/>
      <c r="F264" s="1243"/>
      <c r="G264" s="1244"/>
      <c r="H264" s="615"/>
      <c r="I264" s="622"/>
      <c r="J264" s="615"/>
      <c r="K264" s="615"/>
      <c r="L264" s="622"/>
    </row>
    <row r="265" spans="1:12" s="271" customFormat="1" ht="23.25" customHeight="1">
      <c r="A265" s="1239" t="s">
        <v>336</v>
      </c>
      <c r="B265" s="1240" t="s">
        <v>1298</v>
      </c>
      <c r="C265" s="1241" t="s">
        <v>1299</v>
      </c>
      <c r="D265" s="1242" t="s">
        <v>175</v>
      </c>
      <c r="E265" s="1243">
        <v>1</v>
      </c>
      <c r="F265" s="1243"/>
      <c r="G265" s="1244">
        <f aca="true" t="shared" si="9" ref="G265:G282">$E265*F265</f>
        <v>0</v>
      </c>
      <c r="H265" s="615"/>
      <c r="I265" s="622"/>
      <c r="J265" s="615"/>
      <c r="K265" s="615"/>
      <c r="L265" s="622"/>
    </row>
    <row r="266" spans="1:12" s="271" customFormat="1" ht="23.25" customHeight="1">
      <c r="A266" s="1239" t="s">
        <v>337</v>
      </c>
      <c r="B266" s="1240" t="s">
        <v>1300</v>
      </c>
      <c r="C266" s="1241" t="s">
        <v>1301</v>
      </c>
      <c r="D266" s="1242" t="s">
        <v>116</v>
      </c>
      <c r="E266" s="1243">
        <v>100</v>
      </c>
      <c r="F266" s="1243"/>
      <c r="G266" s="1244">
        <f t="shared" si="9"/>
        <v>0</v>
      </c>
      <c r="H266" s="615"/>
      <c r="I266" s="622"/>
      <c r="J266" s="615"/>
      <c r="K266" s="615"/>
      <c r="L266" s="622"/>
    </row>
    <row r="267" spans="1:12" s="271" customFormat="1" ht="27" customHeight="1">
      <c r="A267" s="1239" t="s">
        <v>343</v>
      </c>
      <c r="B267" s="1240" t="s">
        <v>1302</v>
      </c>
      <c r="C267" s="1241" t="s">
        <v>1303</v>
      </c>
      <c r="D267" s="1242" t="s">
        <v>116</v>
      </c>
      <c r="E267" s="1243">
        <v>129</v>
      </c>
      <c r="F267" s="1243"/>
      <c r="G267" s="1244">
        <f t="shared" si="9"/>
        <v>0</v>
      </c>
      <c r="H267" s="615"/>
      <c r="I267" s="622"/>
      <c r="J267" s="615"/>
      <c r="K267" s="615"/>
      <c r="L267" s="622"/>
    </row>
    <row r="268" spans="1:12" s="271" customFormat="1" ht="27" customHeight="1">
      <c r="A268" s="1239" t="s">
        <v>541</v>
      </c>
      <c r="B268" s="1240" t="s">
        <v>1304</v>
      </c>
      <c r="C268" s="1241" t="s">
        <v>1305</v>
      </c>
      <c r="D268" s="1242" t="s">
        <v>161</v>
      </c>
      <c r="E268" s="1243">
        <v>1</v>
      </c>
      <c r="F268" s="1243"/>
      <c r="G268" s="1244">
        <f t="shared" si="9"/>
        <v>0</v>
      </c>
      <c r="H268" s="615"/>
      <c r="I268" s="622"/>
      <c r="J268" s="615"/>
      <c r="K268" s="615"/>
      <c r="L268" s="622"/>
    </row>
    <row r="269" spans="1:12" s="271" customFormat="1" ht="21" customHeight="1">
      <c r="A269" s="1239" t="s">
        <v>542</v>
      </c>
      <c r="B269" s="1240" t="s">
        <v>2217</v>
      </c>
      <c r="C269" s="1241" t="s">
        <v>2218</v>
      </c>
      <c r="D269" s="1242" t="s">
        <v>161</v>
      </c>
      <c r="E269" s="1243">
        <v>1</v>
      </c>
      <c r="F269" s="1243"/>
      <c r="G269" s="1244">
        <f t="shared" si="9"/>
        <v>0</v>
      </c>
      <c r="H269" s="615"/>
      <c r="I269" s="622"/>
      <c r="J269" s="615"/>
      <c r="K269" s="615"/>
      <c r="L269" s="622"/>
    </row>
    <row r="270" spans="1:12" s="271" customFormat="1" ht="27" customHeight="1">
      <c r="A270" s="1239" t="s">
        <v>543</v>
      </c>
      <c r="B270" s="1240" t="s">
        <v>2282</v>
      </c>
      <c r="C270" s="1230" t="s">
        <v>2387</v>
      </c>
      <c r="D270" s="1231" t="s">
        <v>116</v>
      </c>
      <c r="E270" s="1232">
        <v>42.2</v>
      </c>
      <c r="F270" s="1232"/>
      <c r="G270" s="1199">
        <f t="shared" si="9"/>
        <v>0</v>
      </c>
      <c r="H270" s="615"/>
      <c r="I270" s="622"/>
      <c r="J270" s="615"/>
      <c r="K270" s="615"/>
      <c r="L270" s="622"/>
    </row>
    <row r="271" spans="1:20" s="204" customFormat="1" ht="23.25" customHeight="1">
      <c r="A271" s="1220" t="s">
        <v>544</v>
      </c>
      <c r="B271" s="1201">
        <v>764501103</v>
      </c>
      <c r="C271" s="1230" t="s">
        <v>2388</v>
      </c>
      <c r="D271" s="1231" t="s">
        <v>116</v>
      </c>
      <c r="E271" s="1232">
        <f>108.3+24.5*2+0.7</f>
        <v>158</v>
      </c>
      <c r="F271" s="1232"/>
      <c r="G271" s="1199">
        <f t="shared" si="9"/>
        <v>0</v>
      </c>
      <c r="H271" s="201"/>
      <c r="I271" s="201"/>
      <c r="J271" s="85"/>
      <c r="K271" s="85"/>
      <c r="L271" s="85"/>
      <c r="M271" s="85"/>
      <c r="N271" s="202"/>
      <c r="O271" s="203"/>
      <c r="P271" s="203"/>
      <c r="Q271" s="203"/>
      <c r="R271" s="203"/>
      <c r="S271" s="203"/>
      <c r="T271" s="203"/>
    </row>
    <row r="272" spans="1:12" s="271" customFormat="1" ht="27" customHeight="1">
      <c r="A272" s="1220" t="s">
        <v>2326</v>
      </c>
      <c r="B272" s="1221">
        <v>56231163</v>
      </c>
      <c r="C272" s="1196" t="s">
        <v>2281</v>
      </c>
      <c r="D272" s="1197" t="s">
        <v>175</v>
      </c>
      <c r="E272" s="1182">
        <v>10</v>
      </c>
      <c r="F272" s="1182"/>
      <c r="G272" s="1199">
        <f t="shared" si="9"/>
        <v>0</v>
      </c>
      <c r="H272" s="615"/>
      <c r="I272" s="622"/>
      <c r="J272" s="615"/>
      <c r="K272" s="615"/>
      <c r="L272" s="622"/>
    </row>
    <row r="273" spans="1:12" s="271" customFormat="1" ht="14.25" customHeight="1">
      <c r="A273" s="1220"/>
      <c r="B273" s="1221"/>
      <c r="C273" s="1196"/>
      <c r="D273" s="1197"/>
      <c r="E273" s="1182"/>
      <c r="F273" s="1182"/>
      <c r="G273" s="1199"/>
      <c r="H273" s="615"/>
      <c r="I273" s="622"/>
      <c r="J273" s="615"/>
      <c r="K273" s="615"/>
      <c r="L273" s="622"/>
    </row>
    <row r="274" spans="1:12" s="267" customFormat="1" ht="17.25" customHeight="1">
      <c r="A274" s="1245"/>
      <c r="B274" s="1246"/>
      <c r="C274" s="1247" t="s">
        <v>2377</v>
      </c>
      <c r="D274" s="1248"/>
      <c r="E274" s="1249"/>
      <c r="F274" s="1249"/>
      <c r="G274" s="1250"/>
      <c r="H274" s="975"/>
      <c r="I274" s="976"/>
      <c r="J274" s="975"/>
      <c r="K274" s="975"/>
      <c r="L274" s="976"/>
    </row>
    <row r="275" spans="1:12" s="271" customFormat="1" ht="27" customHeight="1">
      <c r="A275" s="1220" t="s">
        <v>2327</v>
      </c>
      <c r="B275" s="1221"/>
      <c r="C275" s="1196" t="s">
        <v>2378</v>
      </c>
      <c r="D275" s="1197" t="s">
        <v>161</v>
      </c>
      <c r="E275" s="1182">
        <v>1</v>
      </c>
      <c r="F275" s="1182"/>
      <c r="G275" s="1199">
        <f t="shared" si="9"/>
        <v>0</v>
      </c>
      <c r="H275" s="615"/>
      <c r="I275" s="622"/>
      <c r="J275" s="615"/>
      <c r="K275" s="615"/>
      <c r="L275" s="622"/>
    </row>
    <row r="276" spans="1:12" s="271" customFormat="1" ht="27" customHeight="1">
      <c r="A276" s="1220" t="s">
        <v>2364</v>
      </c>
      <c r="B276" s="1221" t="s">
        <v>2366</v>
      </c>
      <c r="C276" s="1196" t="s">
        <v>2376</v>
      </c>
      <c r="D276" s="1197" t="s">
        <v>175</v>
      </c>
      <c r="E276" s="1182">
        <v>23</v>
      </c>
      <c r="F276" s="1182"/>
      <c r="G276" s="1199">
        <f t="shared" si="9"/>
        <v>0</v>
      </c>
      <c r="H276" s="615"/>
      <c r="I276" s="622"/>
      <c r="J276" s="615"/>
      <c r="K276" s="615"/>
      <c r="L276" s="622"/>
    </row>
    <row r="277" spans="1:12" s="271" customFormat="1" ht="27" customHeight="1">
      <c r="A277" s="1220" t="s">
        <v>2365</v>
      </c>
      <c r="B277" s="1221" t="s">
        <v>2367</v>
      </c>
      <c r="C277" s="1196" t="s">
        <v>2368</v>
      </c>
      <c r="D277" s="1197" t="s">
        <v>175</v>
      </c>
      <c r="E277" s="1182">
        <v>23</v>
      </c>
      <c r="F277" s="1182"/>
      <c r="G277" s="1199">
        <f t="shared" si="9"/>
        <v>0</v>
      </c>
      <c r="H277" s="615">
        <v>0.00068</v>
      </c>
      <c r="I277" s="201">
        <f>E277*H277</f>
        <v>0.01564</v>
      </c>
      <c r="J277" s="615"/>
      <c r="K277" s="615"/>
      <c r="L277" s="622"/>
    </row>
    <row r="278" spans="1:12" s="271" customFormat="1" ht="27" customHeight="1">
      <c r="A278" s="1220" t="s">
        <v>2369</v>
      </c>
      <c r="B278" s="1221" t="s">
        <v>2374</v>
      </c>
      <c r="C278" s="1196" t="s">
        <v>2375</v>
      </c>
      <c r="D278" s="1197" t="s">
        <v>1381</v>
      </c>
      <c r="E278" s="1182">
        <v>23</v>
      </c>
      <c r="F278" s="1182"/>
      <c r="G278" s="1199">
        <f t="shared" si="9"/>
        <v>0</v>
      </c>
      <c r="H278" s="615">
        <v>0.00039</v>
      </c>
      <c r="I278" s="201">
        <f>E278*H278</f>
        <v>0.00897</v>
      </c>
      <c r="J278" s="615"/>
      <c r="K278" s="615"/>
      <c r="L278" s="622"/>
    </row>
    <row r="279" spans="1:12" s="271" customFormat="1" ht="27" customHeight="1">
      <c r="A279" s="1220" t="s">
        <v>2370</v>
      </c>
      <c r="B279" s="1221">
        <v>767881161</v>
      </c>
      <c r="C279" s="1196" t="s">
        <v>2373</v>
      </c>
      <c r="D279" s="1197" t="s">
        <v>175</v>
      </c>
      <c r="E279" s="1182">
        <v>5</v>
      </c>
      <c r="F279" s="1182"/>
      <c r="G279" s="1199">
        <f t="shared" si="9"/>
        <v>0</v>
      </c>
      <c r="H279" s="615"/>
      <c r="I279" s="622"/>
      <c r="J279" s="615"/>
      <c r="K279" s="615"/>
      <c r="L279" s="622"/>
    </row>
    <row r="280" spans="1:12" s="271" customFormat="1" ht="27" customHeight="1">
      <c r="A280" s="1220" t="s">
        <v>773</v>
      </c>
      <c r="B280" s="1221">
        <v>31452200</v>
      </c>
      <c r="C280" s="1196" t="s">
        <v>2371</v>
      </c>
      <c r="D280" s="1197" t="s">
        <v>116</v>
      </c>
      <c r="E280" s="1182">
        <v>158.5</v>
      </c>
      <c r="F280" s="1182"/>
      <c r="G280" s="1199">
        <f t="shared" si="9"/>
        <v>0</v>
      </c>
      <c r="H280" s="615">
        <v>0.00015</v>
      </c>
      <c r="I280" s="201">
        <f>E280*H280</f>
        <v>0.023774999999999998</v>
      </c>
      <c r="J280" s="615"/>
      <c r="K280" s="615"/>
      <c r="L280" s="622"/>
    </row>
    <row r="281" spans="1:12" s="271" customFormat="1" ht="27" customHeight="1">
      <c r="A281" s="1220" t="s">
        <v>2379</v>
      </c>
      <c r="B281" s="1221">
        <v>31452202</v>
      </c>
      <c r="C281" s="1196" t="s">
        <v>2372</v>
      </c>
      <c r="D281" s="1197" t="s">
        <v>175</v>
      </c>
      <c r="E281" s="1182">
        <v>5</v>
      </c>
      <c r="F281" s="1182"/>
      <c r="G281" s="1199">
        <f t="shared" si="9"/>
        <v>0</v>
      </c>
      <c r="H281" s="615">
        <v>0.00039</v>
      </c>
      <c r="I281" s="201">
        <f>E281*H281</f>
        <v>0.00195</v>
      </c>
      <c r="J281" s="615"/>
      <c r="K281" s="615"/>
      <c r="L281" s="622"/>
    </row>
    <row r="282" spans="1:12" s="271" customFormat="1" ht="21.75" customHeight="1">
      <c r="A282" s="1220" t="s">
        <v>2380</v>
      </c>
      <c r="B282" s="1221">
        <v>998764102</v>
      </c>
      <c r="C282" s="1196" t="s">
        <v>1306</v>
      </c>
      <c r="D282" s="1197" t="s">
        <v>73</v>
      </c>
      <c r="E282" s="1182">
        <f>2.33+I282</f>
        <v>2.380335</v>
      </c>
      <c r="F282" s="1182"/>
      <c r="G282" s="1199">
        <f t="shared" si="9"/>
        <v>0</v>
      </c>
      <c r="H282" s="615"/>
      <c r="I282" s="623">
        <f>SUM(I275:I281)</f>
        <v>0.050335</v>
      </c>
      <c r="J282" s="622"/>
      <c r="K282" s="623"/>
      <c r="L282" s="622"/>
    </row>
    <row r="283" spans="1:7" ht="14" thickBot="1">
      <c r="A283" s="1217"/>
      <c r="B283" s="1210"/>
      <c r="C283" s="1211"/>
      <c r="D283" s="1212"/>
      <c r="E283" s="1218"/>
      <c r="F283" s="1204"/>
      <c r="G283" s="1219"/>
    </row>
    <row r="284" spans="1:7" ht="17.25" customHeight="1" thickBot="1">
      <c r="A284" s="225"/>
      <c r="B284" s="226"/>
      <c r="C284" s="227" t="s">
        <v>113</v>
      </c>
      <c r="D284" s="226"/>
      <c r="E284" s="416"/>
      <c r="F284" s="417"/>
      <c r="G284" s="230">
        <f>SUBTOTAL(9,G242:G283)</f>
        <v>0</v>
      </c>
    </row>
    <row r="285" spans="1:7" ht="13" thickBot="1">
      <c r="A285" s="179"/>
      <c r="B285" s="180"/>
      <c r="C285" s="180"/>
      <c r="D285" s="180"/>
      <c r="E285" s="180"/>
      <c r="F285" s="180"/>
      <c r="G285" s="396"/>
    </row>
    <row r="286" spans="1:7" ht="13" thickBot="1">
      <c r="A286" s="182" t="s">
        <v>197</v>
      </c>
      <c r="B286" s="183" t="s">
        <v>1267</v>
      </c>
      <c r="C286" s="184" t="s">
        <v>1266</v>
      </c>
      <c r="D286" s="397"/>
      <c r="E286" s="398"/>
      <c r="F286" s="187"/>
      <c r="G286" s="399"/>
    </row>
    <row r="287" spans="1:12" s="244" customFormat="1" ht="12.75">
      <c r="A287" s="949"/>
      <c r="B287" s="400"/>
      <c r="C287" s="950"/>
      <c r="D287" s="231"/>
      <c r="E287" s="402"/>
      <c r="F287" s="402"/>
      <c r="G287" s="951"/>
      <c r="H287" s="241"/>
      <c r="I287" s="241"/>
      <c r="J287" s="241"/>
      <c r="K287" s="241"/>
      <c r="L287" s="241"/>
    </row>
    <row r="288" spans="1:20" s="204" customFormat="1" ht="24" customHeight="1">
      <c r="A288" s="1251" t="s">
        <v>198</v>
      </c>
      <c r="B288" s="1190" t="s">
        <v>1437</v>
      </c>
      <c r="C288" s="1191" t="s">
        <v>1436</v>
      </c>
      <c r="D288" s="1192" t="s">
        <v>46</v>
      </c>
      <c r="E288" s="1193">
        <v>123.75</v>
      </c>
      <c r="F288" s="1193"/>
      <c r="G288" s="1194">
        <f>E288*F288</f>
        <v>0</v>
      </c>
      <c r="H288" s="201">
        <v>0</v>
      </c>
      <c r="I288" s="201">
        <f>E288*H288</f>
        <v>0</v>
      </c>
      <c r="J288" s="85">
        <v>0</v>
      </c>
      <c r="K288" s="85">
        <f>E288*J288</f>
        <v>0</v>
      </c>
      <c r="L288" s="85"/>
      <c r="M288" s="85"/>
      <c r="N288" s="202"/>
      <c r="O288" s="203"/>
      <c r="P288" s="203"/>
      <c r="Q288" s="203"/>
      <c r="R288" s="203"/>
      <c r="S288" s="203"/>
      <c r="T288" s="203"/>
    </row>
    <row r="289" spans="1:12" s="204" customFormat="1" ht="17.25" customHeight="1">
      <c r="A289" s="1251"/>
      <c r="B289" s="1246"/>
      <c r="C289" s="1252" t="s">
        <v>1248</v>
      </c>
      <c r="D289" s="1253"/>
      <c r="E289" s="1254"/>
      <c r="F289" s="1254"/>
      <c r="G289" s="1183"/>
      <c r="H289" s="615"/>
      <c r="I289" s="615"/>
      <c r="J289" s="615"/>
      <c r="K289" s="615"/>
      <c r="L289" s="615"/>
    </row>
    <row r="290" spans="1:12" s="204" customFormat="1" ht="17.25" customHeight="1">
      <c r="A290" s="1251"/>
      <c r="B290" s="1246" t="s">
        <v>1249</v>
      </c>
      <c r="C290" s="1252" t="s">
        <v>191</v>
      </c>
      <c r="D290" s="1253"/>
      <c r="E290" s="1254"/>
      <c r="F290" s="1254"/>
      <c r="G290" s="1183"/>
      <c r="H290" s="615"/>
      <c r="I290" s="615"/>
      <c r="J290" s="615"/>
      <c r="K290" s="615"/>
      <c r="L290" s="615"/>
    </row>
    <row r="291" spans="1:12" s="204" customFormat="1" ht="32.25" customHeight="1">
      <c r="A291" s="1251" t="s">
        <v>199</v>
      </c>
      <c r="B291" s="1255" t="s">
        <v>1250</v>
      </c>
      <c r="C291" s="1256" t="s">
        <v>1251</v>
      </c>
      <c r="D291" s="1253" t="s">
        <v>116</v>
      </c>
      <c r="E291" s="1254">
        <f>SUM(D292)</f>
        <v>10.8</v>
      </c>
      <c r="F291" s="1254"/>
      <c r="G291" s="1183">
        <f>$E291*F291</f>
        <v>0</v>
      </c>
      <c r="H291" s="615"/>
      <c r="I291" s="615"/>
      <c r="J291" s="615">
        <v>0.00177</v>
      </c>
      <c r="K291" s="243">
        <f aca="true" t="shared" si="10" ref="K291:K303">E291*J291</f>
        <v>0.019116</v>
      </c>
      <c r="L291" s="615"/>
    </row>
    <row r="292" spans="1:12" s="595" customFormat="1" ht="21" customHeight="1">
      <c r="A292" s="1257"/>
      <c r="B292" s="1227"/>
      <c r="C292" s="1258" t="s">
        <v>1264</v>
      </c>
      <c r="D292" s="1259">
        <f>0.9*12</f>
        <v>10.8</v>
      </c>
      <c r="E292" s="1260"/>
      <c r="F292" s="1260"/>
      <c r="G292" s="1261"/>
      <c r="H292" s="922"/>
      <c r="I292" s="922"/>
      <c r="J292" s="922"/>
      <c r="K292" s="243"/>
      <c r="L292" s="922"/>
    </row>
    <row r="293" spans="1:12" s="204" customFormat="1" ht="17.25" customHeight="1">
      <c r="A293" s="1251" t="s">
        <v>201</v>
      </c>
      <c r="B293" s="1255"/>
      <c r="C293" s="1256" t="s">
        <v>1252</v>
      </c>
      <c r="D293" s="1253" t="s">
        <v>158</v>
      </c>
      <c r="E293" s="1254">
        <v>12</v>
      </c>
      <c r="F293" s="1254"/>
      <c r="G293" s="1183">
        <f>$E293*F293</f>
        <v>0</v>
      </c>
      <c r="H293" s="615"/>
      <c r="I293" s="615"/>
      <c r="J293" s="615">
        <v>0.0024</v>
      </c>
      <c r="K293" s="243">
        <f t="shared" si="10"/>
        <v>0.0288</v>
      </c>
      <c r="L293" s="615"/>
    </row>
    <row r="294" spans="1:12" s="204" customFormat="1" ht="32.25" customHeight="1">
      <c r="A294" s="1251" t="s">
        <v>202</v>
      </c>
      <c r="B294" s="1255" t="s">
        <v>1253</v>
      </c>
      <c r="C294" s="1256" t="s">
        <v>1254</v>
      </c>
      <c r="D294" s="1253" t="s">
        <v>46</v>
      </c>
      <c r="E294" s="1254">
        <v>13.3</v>
      </c>
      <c r="F294" s="1254"/>
      <c r="G294" s="1183">
        <f>$E294*F294</f>
        <v>0</v>
      </c>
      <c r="H294" s="615"/>
      <c r="I294" s="615"/>
      <c r="J294" s="615">
        <v>0.009</v>
      </c>
      <c r="K294" s="243">
        <f t="shared" si="10"/>
        <v>0.1197</v>
      </c>
      <c r="L294" s="615"/>
    </row>
    <row r="295" spans="1:12" s="595" customFormat="1" ht="21" customHeight="1">
      <c r="A295" s="1257"/>
      <c r="B295" s="1227"/>
      <c r="C295" s="1258" t="s">
        <v>1265</v>
      </c>
      <c r="D295" s="1259">
        <f>8.64+2.88+0.33*0.9*6</f>
        <v>13.302</v>
      </c>
      <c r="E295" s="1260"/>
      <c r="F295" s="1260"/>
      <c r="G295" s="1261"/>
      <c r="H295" s="922"/>
      <c r="I295" s="922"/>
      <c r="J295" s="922"/>
      <c r="K295" s="243"/>
      <c r="L295" s="922"/>
    </row>
    <row r="296" spans="1:12" s="204" customFormat="1" ht="17.25" customHeight="1">
      <c r="A296" s="1251" t="s">
        <v>203</v>
      </c>
      <c r="B296" s="1255"/>
      <c r="C296" s="1256" t="s">
        <v>1255</v>
      </c>
      <c r="D296" s="1253" t="s">
        <v>46</v>
      </c>
      <c r="E296" s="1254">
        <v>8.64</v>
      </c>
      <c r="F296" s="1254"/>
      <c r="G296" s="1183">
        <f>$E296*F296</f>
        <v>0</v>
      </c>
      <c r="H296" s="615"/>
      <c r="I296" s="615"/>
      <c r="J296" s="615">
        <v>0.028</v>
      </c>
      <c r="K296" s="243">
        <f t="shared" si="10"/>
        <v>0.24192000000000002</v>
      </c>
      <c r="L296" s="615"/>
    </row>
    <row r="297" spans="1:12" s="204" customFormat="1" ht="17.25" customHeight="1">
      <c r="A297" s="1251" t="s">
        <v>204</v>
      </c>
      <c r="B297" s="1255"/>
      <c r="C297" s="1256" t="s">
        <v>1256</v>
      </c>
      <c r="D297" s="1253" t="s">
        <v>158</v>
      </c>
      <c r="E297" s="1254">
        <v>6</v>
      </c>
      <c r="F297" s="1254"/>
      <c r="G297" s="1183">
        <f>$E297*F297</f>
        <v>0</v>
      </c>
      <c r="H297" s="615"/>
      <c r="I297" s="615"/>
      <c r="J297" s="615">
        <v>0.0024</v>
      </c>
      <c r="K297" s="243">
        <f t="shared" si="10"/>
        <v>0.0144</v>
      </c>
      <c r="L297" s="615"/>
    </row>
    <row r="298" spans="1:12" s="204" customFormat="1" ht="17.25" customHeight="1">
      <c r="A298" s="1251" t="s">
        <v>205</v>
      </c>
      <c r="B298" s="1255"/>
      <c r="C298" s="1256" t="s">
        <v>1257</v>
      </c>
      <c r="D298" s="1253" t="s">
        <v>46</v>
      </c>
      <c r="E298" s="1254">
        <v>2.88</v>
      </c>
      <c r="F298" s="1254"/>
      <c r="G298" s="1183">
        <f>$E298*F298</f>
        <v>0</v>
      </c>
      <c r="H298" s="615"/>
      <c r="I298" s="615"/>
      <c r="J298" s="615">
        <v>0.028</v>
      </c>
      <c r="K298" s="243">
        <f t="shared" si="10"/>
        <v>0.08064</v>
      </c>
      <c r="L298" s="615"/>
    </row>
    <row r="299" spans="1:12" s="204" customFormat="1" ht="17.25" customHeight="1">
      <c r="A299" s="1251" t="s">
        <v>209</v>
      </c>
      <c r="B299" s="1255" t="s">
        <v>196</v>
      </c>
      <c r="C299" s="1256" t="s">
        <v>335</v>
      </c>
      <c r="D299" s="1253" t="s">
        <v>73</v>
      </c>
      <c r="E299" s="1254">
        <f>K299</f>
        <v>0.504576</v>
      </c>
      <c r="F299" s="1254"/>
      <c r="G299" s="1183">
        <f>$E299*F299</f>
        <v>0</v>
      </c>
      <c r="H299" s="615"/>
      <c r="I299" s="615"/>
      <c r="J299" s="615"/>
      <c r="K299" s="411">
        <f>SUM(K289:K298)</f>
        <v>0.504576</v>
      </c>
      <c r="L299" s="615"/>
    </row>
    <row r="300" spans="1:12" s="271" customFormat="1" ht="14.25" customHeight="1">
      <c r="A300" s="1220"/>
      <c r="B300" s="1221"/>
      <c r="C300" s="1196"/>
      <c r="D300" s="1197"/>
      <c r="E300" s="1182"/>
      <c r="F300" s="1182"/>
      <c r="G300" s="1199"/>
      <c r="H300" s="615"/>
      <c r="I300" s="622"/>
      <c r="J300" s="615"/>
      <c r="K300" s="615"/>
      <c r="L300" s="622"/>
    </row>
    <row r="301" spans="1:12" s="204" customFormat="1" ht="17.25" customHeight="1">
      <c r="A301" s="1251"/>
      <c r="B301" s="1246" t="s">
        <v>1258</v>
      </c>
      <c r="C301" s="1252" t="s">
        <v>1259</v>
      </c>
      <c r="D301" s="1253"/>
      <c r="E301" s="1254"/>
      <c r="F301" s="1254"/>
      <c r="G301" s="1183"/>
      <c r="H301" s="615"/>
      <c r="I301" s="615"/>
      <c r="J301" s="615"/>
      <c r="K301" s="243"/>
      <c r="L301" s="615"/>
    </row>
    <row r="302" spans="1:12" s="204" customFormat="1" ht="32.25" customHeight="1">
      <c r="A302" s="1251" t="s">
        <v>210</v>
      </c>
      <c r="B302" s="1255" t="s">
        <v>1260</v>
      </c>
      <c r="C302" s="1256" t="s">
        <v>1261</v>
      </c>
      <c r="D302" s="1253" t="s">
        <v>46</v>
      </c>
      <c r="E302" s="1254">
        <v>123.75</v>
      </c>
      <c r="F302" s="1254"/>
      <c r="G302" s="1183">
        <f>$E302*F302</f>
        <v>0</v>
      </c>
      <c r="H302" s="615"/>
      <c r="I302" s="615">
        <v>0.0095</v>
      </c>
      <c r="J302" s="615">
        <v>0.0095</v>
      </c>
      <c r="K302" s="243">
        <f t="shared" si="10"/>
        <v>1.175625</v>
      </c>
      <c r="L302" s="615"/>
    </row>
    <row r="303" spans="1:12" s="204" customFormat="1" ht="17.25" customHeight="1">
      <c r="A303" s="1251" t="s">
        <v>211</v>
      </c>
      <c r="B303" s="1255"/>
      <c r="C303" s="1256" t="s">
        <v>1262</v>
      </c>
      <c r="D303" s="1253" t="s">
        <v>46</v>
      </c>
      <c r="E303" s="1254">
        <v>123.75</v>
      </c>
      <c r="F303" s="1254"/>
      <c r="G303" s="1183">
        <f>$E303*F303</f>
        <v>0</v>
      </c>
      <c r="H303" s="615"/>
      <c r="I303" s="615"/>
      <c r="J303" s="615">
        <v>0.028</v>
      </c>
      <c r="K303" s="243">
        <f t="shared" si="10"/>
        <v>3.465</v>
      </c>
      <c r="L303" s="615"/>
    </row>
    <row r="304" spans="1:12" s="204" customFormat="1" ht="116.25" customHeight="1">
      <c r="A304" s="1251" t="s">
        <v>214</v>
      </c>
      <c r="B304" s="1262" t="s">
        <v>2296</v>
      </c>
      <c r="C304" s="1256" t="s">
        <v>2328</v>
      </c>
      <c r="D304" s="1253" t="s">
        <v>46</v>
      </c>
      <c r="E304" s="1254">
        <f>18.8*0.95+0.04</f>
        <v>17.9</v>
      </c>
      <c r="F304" s="1254"/>
      <c r="G304" s="1183">
        <f>$E304*F304</f>
        <v>0</v>
      </c>
      <c r="H304" s="615"/>
      <c r="I304" s="615"/>
      <c r="J304" s="615"/>
      <c r="K304" s="243"/>
      <c r="L304" s="615"/>
    </row>
    <row r="305" spans="1:12" s="204" customFormat="1" ht="34.5" customHeight="1">
      <c r="A305" s="1251" t="s">
        <v>217</v>
      </c>
      <c r="B305" s="1255" t="s">
        <v>2401</v>
      </c>
      <c r="C305" s="1256" t="s">
        <v>2468</v>
      </c>
      <c r="D305" s="1253" t="s">
        <v>175</v>
      </c>
      <c r="E305" s="1254">
        <v>2</v>
      </c>
      <c r="F305" s="1254"/>
      <c r="G305" s="1183">
        <f>$E305*F305</f>
        <v>0</v>
      </c>
      <c r="H305" s="615"/>
      <c r="I305" s="615"/>
      <c r="J305" s="615"/>
      <c r="K305" s="243"/>
      <c r="L305" s="615"/>
    </row>
    <row r="306" spans="1:12" s="204" customFormat="1" ht="17.25" customHeight="1">
      <c r="A306" s="1251" t="s">
        <v>220</v>
      </c>
      <c r="B306" s="1255" t="s">
        <v>206</v>
      </c>
      <c r="C306" s="1256" t="s">
        <v>1263</v>
      </c>
      <c r="D306" s="1253" t="s">
        <v>73</v>
      </c>
      <c r="E306" s="1254">
        <f>K306</f>
        <v>4.640625</v>
      </c>
      <c r="F306" s="1254"/>
      <c r="G306" s="1183">
        <f>$E306*F306</f>
        <v>0</v>
      </c>
      <c r="H306" s="615"/>
      <c r="I306" s="615"/>
      <c r="J306" s="615"/>
      <c r="K306" s="411">
        <f>SUM(K302:K305)</f>
        <v>4.640625</v>
      </c>
      <c r="L306" s="615"/>
    </row>
    <row r="307" spans="1:7" ht="14" thickBot="1">
      <c r="A307" s="1263"/>
      <c r="B307" s="1264"/>
      <c r="C307" s="1265"/>
      <c r="D307" s="1266"/>
      <c r="E307" s="1267"/>
      <c r="F307" s="1268"/>
      <c r="G307" s="1269"/>
    </row>
    <row r="308" spans="1:7" ht="17.25" customHeight="1" thickBot="1">
      <c r="A308" s="225"/>
      <c r="B308" s="226"/>
      <c r="C308" s="227" t="s">
        <v>113</v>
      </c>
      <c r="D308" s="226"/>
      <c r="E308" s="416"/>
      <c r="F308" s="417"/>
      <c r="G308" s="230">
        <f>SUBTOTAL(9,G286:G307)</f>
        <v>0</v>
      </c>
    </row>
    <row r="309" spans="1:7" ht="13" thickBot="1">
      <c r="A309" s="179"/>
      <c r="B309" s="180"/>
      <c r="C309" s="180"/>
      <c r="D309" s="180"/>
      <c r="E309" s="180"/>
      <c r="F309" s="180"/>
      <c r="G309" s="396"/>
    </row>
    <row r="310" spans="1:7" ht="18.75" customHeight="1" thickBot="1">
      <c r="A310" s="182" t="s">
        <v>228</v>
      </c>
      <c r="B310" s="183">
        <v>765</v>
      </c>
      <c r="C310" s="184" t="s">
        <v>2437</v>
      </c>
      <c r="D310" s="397"/>
      <c r="E310" s="398"/>
      <c r="F310" s="187"/>
      <c r="G310" s="399"/>
    </row>
    <row r="311" spans="1:7" ht="12.75">
      <c r="A311" s="189"/>
      <c r="B311" s="400"/>
      <c r="C311" s="232"/>
      <c r="D311" s="233"/>
      <c r="E311" s="401"/>
      <c r="F311" s="402"/>
      <c r="G311" s="403"/>
    </row>
    <row r="312" spans="1:20" s="204" customFormat="1" ht="23.25" customHeight="1">
      <c r="A312" s="1270" t="s">
        <v>230</v>
      </c>
      <c r="B312" s="1271">
        <v>765121802</v>
      </c>
      <c r="C312" s="1272" t="s">
        <v>2438</v>
      </c>
      <c r="D312" s="1273" t="s">
        <v>46</v>
      </c>
      <c r="E312" s="1274">
        <f>SUM(D313)</f>
        <v>34.89999999999999</v>
      </c>
      <c r="F312" s="1274"/>
      <c r="G312" s="1275">
        <f>$E312*F312</f>
        <v>0</v>
      </c>
      <c r="H312" s="201">
        <v>0</v>
      </c>
      <c r="I312" s="201">
        <f>E312*H312</f>
        <v>0</v>
      </c>
      <c r="J312" s="85">
        <v>0</v>
      </c>
      <c r="K312" s="85">
        <f>E312*J312</f>
        <v>0</v>
      </c>
      <c r="L312" s="85"/>
      <c r="M312" s="85"/>
      <c r="N312" s="202"/>
      <c r="O312" s="203"/>
      <c r="P312" s="203"/>
      <c r="Q312" s="203"/>
      <c r="R312" s="203"/>
      <c r="S312" s="203"/>
      <c r="T312" s="203"/>
    </row>
    <row r="313" spans="1:12" s="595" customFormat="1" ht="18" customHeight="1">
      <c r="A313" s="1276"/>
      <c r="B313" s="1227"/>
      <c r="C313" s="1277" t="s">
        <v>2441</v>
      </c>
      <c r="D313" s="1278">
        <f>(38.3+66.1+12)*0.3-0.02</f>
        <v>34.89999999999999</v>
      </c>
      <c r="E313" s="1228"/>
      <c r="F313" s="1228"/>
      <c r="G313" s="1279"/>
      <c r="H313" s="922"/>
      <c r="I313" s="922"/>
      <c r="J313" s="922"/>
      <c r="K313" s="922"/>
      <c r="L313" s="922"/>
    </row>
    <row r="314" spans="1:20" s="204" customFormat="1" ht="23.25" customHeight="1">
      <c r="A314" s="1270" t="s">
        <v>232</v>
      </c>
      <c r="B314" s="1271" t="s">
        <v>1443</v>
      </c>
      <c r="C314" s="1272" t="s">
        <v>1444</v>
      </c>
      <c r="D314" s="1273" t="s">
        <v>116</v>
      </c>
      <c r="E314" s="1274">
        <v>96</v>
      </c>
      <c r="F314" s="1274"/>
      <c r="G314" s="1275">
        <f>$E314*F314</f>
        <v>0</v>
      </c>
      <c r="H314" s="201">
        <v>0</v>
      </c>
      <c r="I314" s="201">
        <f>E314*H314</f>
        <v>0</v>
      </c>
      <c r="J314" s="85">
        <v>0.00177</v>
      </c>
      <c r="K314" s="85">
        <f>E314*J314</f>
        <v>0.16992000000000002</v>
      </c>
      <c r="L314" s="85"/>
      <c r="M314" s="85"/>
      <c r="N314" s="202"/>
      <c r="O314" s="203"/>
      <c r="P314" s="203"/>
      <c r="Q314" s="203"/>
      <c r="R314" s="203"/>
      <c r="S314" s="203"/>
      <c r="T314" s="203"/>
    </row>
    <row r="315" spans="1:20" s="204" customFormat="1" ht="23.25" customHeight="1">
      <c r="A315" s="1270" t="s">
        <v>234</v>
      </c>
      <c r="B315" s="1271" t="s">
        <v>1447</v>
      </c>
      <c r="C315" s="1272" t="s">
        <v>1448</v>
      </c>
      <c r="D315" s="1273" t="s">
        <v>116</v>
      </c>
      <c r="E315" s="1274">
        <v>12</v>
      </c>
      <c r="F315" s="1274"/>
      <c r="G315" s="1275">
        <f>$E315*F315</f>
        <v>0</v>
      </c>
      <c r="H315" s="201">
        <v>0</v>
      </c>
      <c r="I315" s="201">
        <f>E315*H315</f>
        <v>0</v>
      </c>
      <c r="J315" s="85">
        <v>0.00394</v>
      </c>
      <c r="K315" s="85">
        <f>E315*J315</f>
        <v>0.04728</v>
      </c>
      <c r="L315" s="85"/>
      <c r="M315" s="85"/>
      <c r="N315" s="202"/>
      <c r="O315" s="203"/>
      <c r="P315" s="203"/>
      <c r="Q315" s="203"/>
      <c r="R315" s="203"/>
      <c r="S315" s="203"/>
      <c r="T315" s="203"/>
    </row>
    <row r="316" spans="1:20" s="204" customFormat="1" ht="23.25" customHeight="1">
      <c r="A316" s="1270" t="s">
        <v>237</v>
      </c>
      <c r="B316" s="1271">
        <v>764004803</v>
      </c>
      <c r="C316" s="1272" t="s">
        <v>2311</v>
      </c>
      <c r="D316" s="1273" t="s">
        <v>116</v>
      </c>
      <c r="E316" s="1274">
        <v>96</v>
      </c>
      <c r="F316" s="1274"/>
      <c r="G316" s="1275">
        <f>$E316*F316</f>
        <v>0</v>
      </c>
      <c r="H316" s="201"/>
      <c r="I316" s="201"/>
      <c r="J316" s="85"/>
      <c r="K316" s="85"/>
      <c r="L316" s="85"/>
      <c r="M316" s="85"/>
      <c r="N316" s="202"/>
      <c r="O316" s="203"/>
      <c r="P316" s="203"/>
      <c r="Q316" s="203"/>
      <c r="R316" s="203"/>
      <c r="S316" s="203"/>
      <c r="T316" s="203"/>
    </row>
    <row r="317" spans="1:12" s="204" customFormat="1" ht="24" customHeight="1">
      <c r="A317" s="1270" t="s">
        <v>240</v>
      </c>
      <c r="B317" s="1280" t="s">
        <v>256</v>
      </c>
      <c r="C317" s="1281" t="s">
        <v>2439</v>
      </c>
      <c r="D317" s="1280" t="s">
        <v>46</v>
      </c>
      <c r="E317" s="1274">
        <f>SUM(D318)</f>
        <v>93.60000000000001</v>
      </c>
      <c r="F317" s="1282"/>
      <c r="G317" s="1275">
        <f>$E317*F317</f>
        <v>0</v>
      </c>
      <c r="H317" s="615"/>
      <c r="I317" s="615"/>
      <c r="J317" s="615">
        <v>0</v>
      </c>
      <c r="K317" s="615">
        <f aca="true" t="shared" si="11" ref="K317:K319">E317*J317</f>
        <v>0</v>
      </c>
      <c r="L317" s="615"/>
    </row>
    <row r="318" spans="1:12" s="595" customFormat="1" ht="18" customHeight="1">
      <c r="A318" s="1276"/>
      <c r="B318" s="1227"/>
      <c r="C318" s="1277" t="s">
        <v>2442</v>
      </c>
      <c r="D318" s="1278">
        <f>(38.3+66.1+12)*0.8+0.48</f>
        <v>93.60000000000001</v>
      </c>
      <c r="E318" s="1228"/>
      <c r="F318" s="1228"/>
      <c r="G318" s="1279"/>
      <c r="H318" s="922"/>
      <c r="I318" s="922"/>
      <c r="J318" s="922"/>
      <c r="K318" s="922"/>
      <c r="L318" s="922"/>
    </row>
    <row r="319" spans="1:12" s="204" customFormat="1" ht="20.25" customHeight="1">
      <c r="A319" s="1270" t="s">
        <v>244</v>
      </c>
      <c r="B319" s="1280">
        <v>765121011</v>
      </c>
      <c r="C319" s="1281" t="s">
        <v>2440</v>
      </c>
      <c r="D319" s="1280" t="s">
        <v>46</v>
      </c>
      <c r="E319" s="1282">
        <v>93.6</v>
      </c>
      <c r="F319" s="1282"/>
      <c r="G319" s="1275">
        <f>$E319*F319</f>
        <v>0</v>
      </c>
      <c r="H319" s="615"/>
      <c r="I319" s="615"/>
      <c r="J319" s="615">
        <v>0</v>
      </c>
      <c r="K319" s="615">
        <f t="shared" si="11"/>
        <v>0</v>
      </c>
      <c r="L319" s="615"/>
    </row>
    <row r="320" spans="1:12" s="271" customFormat="1" ht="27" customHeight="1">
      <c r="A320" s="1270" t="s">
        <v>246</v>
      </c>
      <c r="B320" s="1283" t="s">
        <v>1282</v>
      </c>
      <c r="C320" s="1196" t="s">
        <v>1283</v>
      </c>
      <c r="D320" s="1197" t="s">
        <v>116</v>
      </c>
      <c r="E320" s="1284">
        <v>108</v>
      </c>
      <c r="F320" s="1284"/>
      <c r="G320" s="1199">
        <f aca="true" t="shared" si="12" ref="G320:G323">$E320*F320</f>
        <v>0</v>
      </c>
      <c r="H320" s="615"/>
      <c r="I320" s="622"/>
      <c r="J320" s="615"/>
      <c r="K320" s="615"/>
      <c r="L320" s="622"/>
    </row>
    <row r="321" spans="1:12" s="271" customFormat="1" ht="23.25" customHeight="1">
      <c r="A321" s="1189" t="s">
        <v>2443</v>
      </c>
      <c r="B321" s="1240" t="s">
        <v>1300</v>
      </c>
      <c r="C321" s="1241" t="s">
        <v>1301</v>
      </c>
      <c r="D321" s="1242" t="s">
        <v>116</v>
      </c>
      <c r="E321" s="1243">
        <v>108</v>
      </c>
      <c r="F321" s="1243"/>
      <c r="G321" s="1244">
        <f t="shared" si="12"/>
        <v>0</v>
      </c>
      <c r="H321" s="615"/>
      <c r="I321" s="622"/>
      <c r="J321" s="615"/>
      <c r="K321" s="615"/>
      <c r="L321" s="622"/>
    </row>
    <row r="322" spans="1:12" s="271" customFormat="1" ht="27" customHeight="1">
      <c r="A322" s="1285" t="s">
        <v>2444</v>
      </c>
      <c r="B322" s="1286" t="s">
        <v>2282</v>
      </c>
      <c r="C322" s="1287" t="s">
        <v>2387</v>
      </c>
      <c r="D322" s="1288" t="s">
        <v>116</v>
      </c>
      <c r="E322" s="1289">
        <v>12</v>
      </c>
      <c r="F322" s="1289"/>
      <c r="G322" s="1244">
        <f t="shared" si="12"/>
        <v>0</v>
      </c>
      <c r="H322" s="615"/>
      <c r="I322" s="622"/>
      <c r="J322" s="615"/>
      <c r="K322" s="615"/>
      <c r="L322" s="622"/>
    </row>
    <row r="323" spans="1:20" s="204" customFormat="1" ht="23.25" customHeight="1">
      <c r="A323" s="1285" t="s">
        <v>2445</v>
      </c>
      <c r="B323" s="1290">
        <v>764501103</v>
      </c>
      <c r="C323" s="1287" t="s">
        <v>2388</v>
      </c>
      <c r="D323" s="1288" t="s">
        <v>116</v>
      </c>
      <c r="E323" s="1289">
        <v>110</v>
      </c>
      <c r="F323" s="1289"/>
      <c r="G323" s="1244">
        <f t="shared" si="12"/>
        <v>0</v>
      </c>
      <c r="H323" s="201"/>
      <c r="I323" s="201"/>
      <c r="J323" s="85"/>
      <c r="K323" s="85"/>
      <c r="L323" s="85"/>
      <c r="M323" s="85"/>
      <c r="N323" s="202"/>
      <c r="O323" s="203"/>
      <c r="P323" s="203"/>
      <c r="Q323" s="203"/>
      <c r="R323" s="203"/>
      <c r="S323" s="203"/>
      <c r="T323" s="203"/>
    </row>
    <row r="324" spans="1:12" s="244" customFormat="1" ht="14" thickBot="1">
      <c r="A324" s="1291"/>
      <c r="B324" s="1292"/>
      <c r="C324" s="1293"/>
      <c r="D324" s="1294"/>
      <c r="E324" s="1295"/>
      <c r="F324" s="1295"/>
      <c r="G324" s="1296"/>
      <c r="H324" s="241"/>
      <c r="I324" s="241"/>
      <c r="J324" s="241"/>
      <c r="K324" s="241"/>
      <c r="L324" s="241"/>
    </row>
    <row r="325" spans="1:7" ht="17.25" customHeight="1" thickBot="1">
      <c r="A325" s="225"/>
      <c r="B325" s="226"/>
      <c r="C325" s="227" t="s">
        <v>113</v>
      </c>
      <c r="D325" s="226"/>
      <c r="E325" s="416"/>
      <c r="F325" s="417"/>
      <c r="G325" s="230">
        <f>SUBTOTAL(9,G311:G324)</f>
        <v>0</v>
      </c>
    </row>
    <row r="326" spans="1:7" ht="13" thickBot="1">
      <c r="A326" s="179"/>
      <c r="B326" s="180"/>
      <c r="C326" s="180"/>
      <c r="D326" s="180"/>
      <c r="E326" s="180"/>
      <c r="F326" s="180"/>
      <c r="G326" s="396"/>
    </row>
    <row r="327" spans="1:7" ht="18.75" customHeight="1" thickBot="1">
      <c r="A327" s="182" t="s">
        <v>406</v>
      </c>
      <c r="B327" s="183">
        <v>9</v>
      </c>
      <c r="C327" s="184" t="s">
        <v>1348</v>
      </c>
      <c r="D327" s="397"/>
      <c r="E327" s="398"/>
      <c r="F327" s="187"/>
      <c r="G327" s="399"/>
    </row>
    <row r="328" spans="1:7" ht="12.75">
      <c r="A328" s="189"/>
      <c r="B328" s="400"/>
      <c r="C328" s="232"/>
      <c r="D328" s="233"/>
      <c r="E328" s="401"/>
      <c r="F328" s="402"/>
      <c r="G328" s="403"/>
    </row>
    <row r="329" spans="1:20" s="579" customFormat="1" ht="12.75" customHeight="1">
      <c r="A329" s="1297"/>
      <c r="B329" s="1298" t="s">
        <v>1053</v>
      </c>
      <c r="C329" s="1299" t="s">
        <v>184</v>
      </c>
      <c r="D329" s="1300"/>
      <c r="E329" s="1301"/>
      <c r="F329" s="1301"/>
      <c r="G329" s="1302"/>
      <c r="H329" s="216"/>
      <c r="I329" s="216"/>
      <c r="J329" s="217"/>
      <c r="K329" s="217"/>
      <c r="L329" s="217"/>
      <c r="M329" s="217"/>
      <c r="N329" s="577"/>
      <c r="O329" s="578"/>
      <c r="P329" s="578"/>
      <c r="Q329" s="578"/>
      <c r="R329" s="578"/>
      <c r="S329" s="578"/>
      <c r="T329" s="578"/>
    </row>
    <row r="330" spans="1:20" s="204" customFormat="1" ht="33.75" customHeight="1">
      <c r="A330" s="1285" t="s">
        <v>407</v>
      </c>
      <c r="B330" s="1290">
        <v>713114413</v>
      </c>
      <c r="C330" s="1287" t="s">
        <v>1101</v>
      </c>
      <c r="D330" s="1288" t="s">
        <v>52</v>
      </c>
      <c r="E330" s="1289">
        <f>SUM(D331)</f>
        <v>164.7</v>
      </c>
      <c r="F330" s="1289"/>
      <c r="G330" s="1303">
        <f>E330*F330</f>
        <v>0</v>
      </c>
      <c r="H330" s="201">
        <v>0</v>
      </c>
      <c r="I330" s="201">
        <f>E330*H330</f>
        <v>0</v>
      </c>
      <c r="J330" s="85">
        <v>0.053</v>
      </c>
      <c r="K330" s="85">
        <f>E330*J330</f>
        <v>8.729099999999999</v>
      </c>
      <c r="L330" s="85"/>
      <c r="M330" s="85"/>
      <c r="N330" s="202"/>
      <c r="O330" s="203"/>
      <c r="P330" s="203"/>
      <c r="Q330" s="203"/>
      <c r="R330" s="203"/>
      <c r="S330" s="203"/>
      <c r="T330" s="203"/>
    </row>
    <row r="331" spans="1:12" s="595" customFormat="1" ht="18" customHeight="1">
      <c r="A331" s="1304"/>
      <c r="B331" s="1227" t="s">
        <v>1049</v>
      </c>
      <c r="C331" s="1277" t="s">
        <v>1731</v>
      </c>
      <c r="D331" s="1278">
        <f>548.9*0.3+0.03</f>
        <v>164.7</v>
      </c>
      <c r="E331" s="1228"/>
      <c r="F331" s="1228"/>
      <c r="G331" s="1305"/>
      <c r="H331" s="922"/>
      <c r="I331" s="922"/>
      <c r="J331" s="922"/>
      <c r="K331" s="922"/>
      <c r="L331" s="922"/>
    </row>
    <row r="332" spans="1:12" s="271" customFormat="1" ht="27" customHeight="1">
      <c r="A332" s="1285" t="s">
        <v>408</v>
      </c>
      <c r="B332" s="1286">
        <v>713151111</v>
      </c>
      <c r="C332" s="1306" t="s">
        <v>1100</v>
      </c>
      <c r="D332" s="1307" t="s">
        <v>46</v>
      </c>
      <c r="E332" s="1308">
        <f>SUM(D333)</f>
        <v>603.8000000000001</v>
      </c>
      <c r="F332" s="1308"/>
      <c r="G332" s="1309">
        <f>$E332*F332</f>
        <v>0</v>
      </c>
      <c r="H332" s="615"/>
      <c r="I332" s="622"/>
      <c r="J332" s="615"/>
      <c r="K332" s="615"/>
      <c r="L332" s="622"/>
    </row>
    <row r="333" spans="1:12" s="595" customFormat="1" ht="18" customHeight="1">
      <c r="A333" s="1310"/>
      <c r="B333" s="1311" t="s">
        <v>1049</v>
      </c>
      <c r="C333" s="1312" t="s">
        <v>1732</v>
      </c>
      <c r="D333" s="1313">
        <f>548.9*1.1+0.01</f>
        <v>603.8000000000001</v>
      </c>
      <c r="E333" s="1314"/>
      <c r="F333" s="1314"/>
      <c r="G333" s="1315"/>
      <c r="H333" s="922"/>
      <c r="I333" s="922"/>
      <c r="J333" s="922"/>
      <c r="K333" s="922"/>
      <c r="L333" s="922"/>
    </row>
    <row r="334" spans="1:12" s="271" customFormat="1" ht="27" customHeight="1">
      <c r="A334" s="1316" t="s">
        <v>409</v>
      </c>
      <c r="B334" s="1317">
        <v>63150819</v>
      </c>
      <c r="C334" s="1318" t="s">
        <v>2397</v>
      </c>
      <c r="D334" s="1319" t="s">
        <v>46</v>
      </c>
      <c r="E334" s="1320">
        <f>SUM(D335)</f>
        <v>408.29999999999995</v>
      </c>
      <c r="F334" s="1320"/>
      <c r="G334" s="1321">
        <f>$E334*F334</f>
        <v>0</v>
      </c>
      <c r="H334" s="615"/>
      <c r="I334" s="622"/>
      <c r="J334" s="615">
        <v>0.0002</v>
      </c>
      <c r="K334" s="85">
        <f>E334*J334</f>
        <v>0.08166</v>
      </c>
      <c r="L334" s="622"/>
    </row>
    <row r="335" spans="1:12" s="595" customFormat="1" ht="18" customHeight="1">
      <c r="A335" s="1322"/>
      <c r="B335" s="1323"/>
      <c r="C335" s="1324" t="s">
        <v>1098</v>
      </c>
      <c r="D335" s="1325">
        <f>(114+192.1+48.9)*1.15+0.05</f>
        <v>408.29999999999995</v>
      </c>
      <c r="E335" s="1326"/>
      <c r="F335" s="1326"/>
      <c r="G335" s="1327"/>
      <c r="H335" s="922"/>
      <c r="I335" s="922"/>
      <c r="J335" s="922"/>
      <c r="K335" s="922"/>
      <c r="L335" s="922"/>
    </row>
    <row r="336" spans="1:20" s="204" customFormat="1" ht="27" customHeight="1">
      <c r="A336" s="1328" t="s">
        <v>410</v>
      </c>
      <c r="B336" s="1329" t="s">
        <v>190</v>
      </c>
      <c r="C336" s="1330" t="s">
        <v>1099</v>
      </c>
      <c r="D336" s="1331" t="s">
        <v>73</v>
      </c>
      <c r="E336" s="1332">
        <f>K330</f>
        <v>8.729099999999999</v>
      </c>
      <c r="F336" s="1332"/>
      <c r="G336" s="1333">
        <f>E336*F336</f>
        <v>0</v>
      </c>
      <c r="H336" s="201"/>
      <c r="I336" s="216">
        <f>SUM(I329:I330)</f>
        <v>0</v>
      </c>
      <c r="J336" s="85"/>
      <c r="K336" s="217">
        <f>SUM(K330:K335)</f>
        <v>8.810759999999998</v>
      </c>
      <c r="L336" s="85"/>
      <c r="M336" s="85"/>
      <c r="N336" s="202"/>
      <c r="O336" s="203"/>
      <c r="P336" s="203"/>
      <c r="Q336" s="203"/>
      <c r="R336" s="203"/>
      <c r="S336" s="203"/>
      <c r="T336" s="203"/>
    </row>
    <row r="337" spans="1:20" s="204" customFormat="1" ht="18" customHeight="1">
      <c r="A337" s="1328"/>
      <c r="B337" s="1329"/>
      <c r="C337" s="1330"/>
      <c r="D337" s="1331"/>
      <c r="E337" s="1332"/>
      <c r="F337" s="1332"/>
      <c r="G337" s="1333"/>
      <c r="H337" s="201"/>
      <c r="I337" s="201"/>
      <c r="J337" s="85"/>
      <c r="K337" s="85"/>
      <c r="L337" s="85"/>
      <c r="M337" s="85"/>
      <c r="N337" s="202"/>
      <c r="O337" s="203"/>
      <c r="P337" s="203"/>
      <c r="Q337" s="203"/>
      <c r="R337" s="203"/>
      <c r="S337" s="203"/>
      <c r="T337" s="203"/>
    </row>
    <row r="338" spans="1:20" s="579" customFormat="1" ht="22.5" customHeight="1">
      <c r="A338" s="1334"/>
      <c r="B338" s="1335" t="s">
        <v>1056</v>
      </c>
      <c r="C338" s="1336" t="s">
        <v>1057</v>
      </c>
      <c r="D338" s="1337"/>
      <c r="E338" s="1338"/>
      <c r="F338" s="1338"/>
      <c r="G338" s="1339"/>
      <c r="H338" s="216"/>
      <c r="I338" s="216"/>
      <c r="J338" s="217"/>
      <c r="K338" s="217"/>
      <c r="L338" s="217"/>
      <c r="M338" s="217"/>
      <c r="N338" s="577"/>
      <c r="O338" s="578"/>
      <c r="P338" s="578"/>
      <c r="Q338" s="578"/>
      <c r="R338" s="578"/>
      <c r="S338" s="578"/>
      <c r="T338" s="578"/>
    </row>
    <row r="339" spans="1:20" s="204" customFormat="1" ht="23.25" customHeight="1">
      <c r="A339" s="1328" t="s">
        <v>411</v>
      </c>
      <c r="B339" s="1329" t="s">
        <v>1060</v>
      </c>
      <c r="C339" s="1330" t="s">
        <v>1061</v>
      </c>
      <c r="D339" s="1331" t="s">
        <v>46</v>
      </c>
      <c r="E339" s="1332">
        <v>369.7</v>
      </c>
      <c r="F339" s="1332"/>
      <c r="G339" s="1333">
        <f>E339*F339</f>
        <v>0</v>
      </c>
      <c r="H339" s="201">
        <v>0</v>
      </c>
      <c r="I339" s="201">
        <f>E339*H339</f>
        <v>0</v>
      </c>
      <c r="J339" s="85">
        <v>0</v>
      </c>
      <c r="K339" s="85">
        <f>E339*J339</f>
        <v>0</v>
      </c>
      <c r="L339" s="85"/>
      <c r="M339" s="85"/>
      <c r="N339" s="202"/>
      <c r="O339" s="203"/>
      <c r="P339" s="203"/>
      <c r="Q339" s="203"/>
      <c r="R339" s="203"/>
      <c r="S339" s="203"/>
      <c r="T339" s="203"/>
    </row>
    <row r="340" spans="1:20" s="204" customFormat="1" ht="23.25" customHeight="1">
      <c r="A340" s="1328" t="s">
        <v>412</v>
      </c>
      <c r="B340" s="1329" t="s">
        <v>1062</v>
      </c>
      <c r="C340" s="1330" t="s">
        <v>1063</v>
      </c>
      <c r="D340" s="1331" t="s">
        <v>52</v>
      </c>
      <c r="E340" s="1332">
        <f>SUM(D341)</f>
        <v>9.582624000000001</v>
      </c>
      <c r="F340" s="1332"/>
      <c r="G340" s="1333">
        <f>E340*F340</f>
        <v>0</v>
      </c>
      <c r="H340" s="201">
        <v>0</v>
      </c>
      <c r="I340" s="201">
        <f>E340*H340</f>
        <v>0</v>
      </c>
      <c r="J340" s="85">
        <v>0.54</v>
      </c>
      <c r="K340" s="85">
        <f>E340*J340</f>
        <v>5.174616960000001</v>
      </c>
      <c r="L340" s="85"/>
      <c r="M340" s="85"/>
      <c r="N340" s="202"/>
      <c r="O340" s="203"/>
      <c r="P340" s="203"/>
      <c r="Q340" s="203"/>
      <c r="R340" s="203"/>
      <c r="S340" s="203"/>
      <c r="T340" s="203"/>
    </row>
    <row r="341" spans="1:20" s="214" customFormat="1" ht="15" customHeight="1">
      <c r="A341" s="1328"/>
      <c r="B341" s="1340" t="s">
        <v>1049</v>
      </c>
      <c r="C341" s="1341" t="s">
        <v>1093</v>
      </c>
      <c r="D341" s="1342">
        <f>369.7*1.08*0.024</f>
        <v>9.582624000000001</v>
      </c>
      <c r="E341" s="1343"/>
      <c r="F341" s="1343"/>
      <c r="G341" s="1344"/>
      <c r="H341" s="210"/>
      <c r="I341" s="210"/>
      <c r="J341" s="211"/>
      <c r="K341" s="85"/>
      <c r="L341" s="211"/>
      <c r="M341" s="211"/>
      <c r="N341" s="212"/>
      <c r="O341" s="213"/>
      <c r="P341" s="213"/>
      <c r="Q341" s="213"/>
      <c r="R341" s="213"/>
      <c r="S341" s="213"/>
      <c r="T341" s="213"/>
    </row>
    <row r="342" spans="1:20" s="204" customFormat="1" ht="24.75" customHeight="1">
      <c r="A342" s="1328" t="s">
        <v>413</v>
      </c>
      <c r="B342" s="1329">
        <v>998762102</v>
      </c>
      <c r="C342" s="1330" t="s">
        <v>1349</v>
      </c>
      <c r="D342" s="1331" t="s">
        <v>73</v>
      </c>
      <c r="E342" s="1332">
        <f>K340</f>
        <v>5.174616960000001</v>
      </c>
      <c r="F342" s="1332"/>
      <c r="G342" s="1333">
        <f>E342*F342</f>
        <v>0</v>
      </c>
      <c r="H342" s="201"/>
      <c r="I342" s="216">
        <f>SUM(I338:I341)</f>
        <v>0</v>
      </c>
      <c r="J342" s="85"/>
      <c r="K342" s="217">
        <f>SUM(K339:K341)</f>
        <v>5.174616960000001</v>
      </c>
      <c r="L342" s="85"/>
      <c r="M342" s="85"/>
      <c r="N342" s="202"/>
      <c r="O342" s="203"/>
      <c r="P342" s="203"/>
      <c r="Q342" s="203"/>
      <c r="R342" s="203"/>
      <c r="S342" s="203"/>
      <c r="T342" s="203"/>
    </row>
    <row r="343" spans="1:20" s="204" customFormat="1" ht="18" customHeight="1">
      <c r="A343" s="1328"/>
      <c r="B343" s="1329"/>
      <c r="C343" s="1330"/>
      <c r="D343" s="1331"/>
      <c r="E343" s="1332"/>
      <c r="F343" s="1332"/>
      <c r="G343" s="1333"/>
      <c r="H343" s="201"/>
      <c r="I343" s="201"/>
      <c r="J343" s="85"/>
      <c r="K343" s="85"/>
      <c r="L343" s="85"/>
      <c r="M343" s="85"/>
      <c r="N343" s="202"/>
      <c r="O343" s="203"/>
      <c r="P343" s="203"/>
      <c r="Q343" s="203"/>
      <c r="R343" s="203"/>
      <c r="S343" s="203"/>
      <c r="T343" s="203"/>
    </row>
    <row r="344" spans="1:20" s="579" customFormat="1" ht="18" customHeight="1">
      <c r="A344" s="1334"/>
      <c r="B344" s="1335" t="s">
        <v>1065</v>
      </c>
      <c r="C344" s="1336" t="s">
        <v>1066</v>
      </c>
      <c r="D344" s="1337"/>
      <c r="E344" s="1338"/>
      <c r="F344" s="1338"/>
      <c r="G344" s="1339"/>
      <c r="H344" s="216"/>
      <c r="I344" s="216"/>
      <c r="J344" s="217"/>
      <c r="K344" s="217"/>
      <c r="L344" s="217"/>
      <c r="M344" s="217"/>
      <c r="N344" s="577"/>
      <c r="O344" s="578"/>
      <c r="P344" s="578"/>
      <c r="Q344" s="578"/>
      <c r="R344" s="578"/>
      <c r="S344" s="578"/>
      <c r="T344" s="578"/>
    </row>
    <row r="345" spans="1:20" s="204" customFormat="1" ht="28.5" customHeight="1">
      <c r="A345" s="1328" t="s">
        <v>1872</v>
      </c>
      <c r="B345" s="1329" t="s">
        <v>1067</v>
      </c>
      <c r="C345" s="1330" t="s">
        <v>1068</v>
      </c>
      <c r="D345" s="1331" t="s">
        <v>46</v>
      </c>
      <c r="E345" s="1332">
        <f>SUM(D346)</f>
        <v>722.2</v>
      </c>
      <c r="F345" s="1332"/>
      <c r="G345" s="1333">
        <f>E345*F345</f>
        <v>0</v>
      </c>
      <c r="H345" s="201"/>
      <c r="I345" s="201"/>
      <c r="J345" s="85"/>
      <c r="K345" s="85"/>
      <c r="L345" s="85"/>
      <c r="M345" s="85"/>
      <c r="N345" s="202"/>
      <c r="O345" s="203"/>
      <c r="P345" s="203"/>
      <c r="Q345" s="203"/>
      <c r="R345" s="203"/>
      <c r="S345" s="203"/>
      <c r="T345" s="203"/>
    </row>
    <row r="346" spans="1:20" s="214" customFormat="1" ht="15" customHeight="1">
      <c r="A346" s="1328"/>
      <c r="B346" s="1340" t="s">
        <v>1049</v>
      </c>
      <c r="C346" s="1341" t="s">
        <v>1077</v>
      </c>
      <c r="D346" s="1342">
        <f>369.7+26.5*13.3+0.05</f>
        <v>722.2</v>
      </c>
      <c r="E346" s="1343"/>
      <c r="F346" s="1343"/>
      <c r="G346" s="1344"/>
      <c r="H346" s="210"/>
      <c r="I346" s="210"/>
      <c r="J346" s="211"/>
      <c r="K346" s="85"/>
      <c r="L346" s="211"/>
      <c r="M346" s="211"/>
      <c r="N346" s="212"/>
      <c r="O346" s="213"/>
      <c r="P346" s="213"/>
      <c r="Q346" s="213"/>
      <c r="R346" s="213"/>
      <c r="S346" s="213"/>
      <c r="T346" s="213"/>
    </row>
    <row r="347" spans="1:20" s="204" customFormat="1" ht="28.5" customHeight="1">
      <c r="A347" s="1328" t="s">
        <v>1873</v>
      </c>
      <c r="B347" s="1329" t="s">
        <v>1069</v>
      </c>
      <c r="C347" s="1330" t="s">
        <v>1070</v>
      </c>
      <c r="D347" s="1331" t="s">
        <v>46</v>
      </c>
      <c r="E347" s="1332">
        <v>369.7</v>
      </c>
      <c r="F347" s="1332"/>
      <c r="G347" s="1333">
        <f>E347*F347</f>
        <v>0</v>
      </c>
      <c r="H347" s="201"/>
      <c r="I347" s="201"/>
      <c r="J347" s="85"/>
      <c r="K347" s="85"/>
      <c r="L347" s="85"/>
      <c r="M347" s="85"/>
      <c r="N347" s="202"/>
      <c r="O347" s="203"/>
      <c r="P347" s="203"/>
      <c r="Q347" s="203"/>
      <c r="R347" s="203"/>
      <c r="S347" s="203"/>
      <c r="T347" s="203"/>
    </row>
    <row r="348" spans="1:20" s="204" customFormat="1" ht="18" customHeight="1">
      <c r="A348" s="1328" t="s">
        <v>1874</v>
      </c>
      <c r="B348" s="1329" t="s">
        <v>1071</v>
      </c>
      <c r="C348" s="1330" t="s">
        <v>1072</v>
      </c>
      <c r="D348" s="1331" t="s">
        <v>46</v>
      </c>
      <c r="E348" s="1332">
        <v>369.7</v>
      </c>
      <c r="F348" s="1332"/>
      <c r="G348" s="1333">
        <f>E348*F348</f>
        <v>0</v>
      </c>
      <c r="H348" s="201"/>
      <c r="I348" s="201"/>
      <c r="J348" s="85"/>
      <c r="K348" s="85"/>
      <c r="L348" s="85"/>
      <c r="M348" s="85"/>
      <c r="N348" s="202"/>
      <c r="O348" s="203"/>
      <c r="P348" s="203"/>
      <c r="Q348" s="203"/>
      <c r="R348" s="203"/>
      <c r="S348" s="203"/>
      <c r="T348" s="203"/>
    </row>
    <row r="349" spans="1:20" s="204" customFormat="1" ht="18" customHeight="1">
      <c r="A349" s="1328" t="s">
        <v>1875</v>
      </c>
      <c r="B349" s="1329" t="s">
        <v>1073</v>
      </c>
      <c r="C349" s="1330" t="s">
        <v>1074</v>
      </c>
      <c r="D349" s="1331" t="s">
        <v>46</v>
      </c>
      <c r="E349" s="1332">
        <v>369.7</v>
      </c>
      <c r="F349" s="1332"/>
      <c r="G349" s="1333">
        <f>E349*F349</f>
        <v>0</v>
      </c>
      <c r="H349" s="201"/>
      <c r="I349" s="201"/>
      <c r="J349" s="85"/>
      <c r="K349" s="85"/>
      <c r="L349" s="85"/>
      <c r="M349" s="85"/>
      <c r="N349" s="202"/>
      <c r="O349" s="203"/>
      <c r="P349" s="203"/>
      <c r="Q349" s="203"/>
      <c r="R349" s="203"/>
      <c r="S349" s="203"/>
      <c r="T349" s="203"/>
    </row>
    <row r="350" spans="1:20" s="204" customFormat="1" ht="18" customHeight="1">
      <c r="A350" s="1328" t="s">
        <v>1876</v>
      </c>
      <c r="B350" s="1329" t="s">
        <v>1075</v>
      </c>
      <c r="C350" s="1330" t="s">
        <v>1076</v>
      </c>
      <c r="D350" s="1331" t="s">
        <v>46</v>
      </c>
      <c r="E350" s="1332">
        <v>722.2</v>
      </c>
      <c r="F350" s="1332"/>
      <c r="G350" s="1333">
        <f>E350*F350</f>
        <v>0</v>
      </c>
      <c r="H350" s="201"/>
      <c r="I350" s="201"/>
      <c r="J350" s="85"/>
      <c r="K350" s="85"/>
      <c r="L350" s="85"/>
      <c r="M350" s="85"/>
      <c r="N350" s="202"/>
      <c r="O350" s="203"/>
      <c r="P350" s="203"/>
      <c r="Q350" s="203"/>
      <c r="R350" s="203"/>
      <c r="S350" s="203"/>
      <c r="T350" s="203"/>
    </row>
    <row r="351" spans="1:20" s="204" customFormat="1" ht="18" customHeight="1">
      <c r="A351" s="1328" t="s">
        <v>1877</v>
      </c>
      <c r="B351" s="1329" t="s">
        <v>1078</v>
      </c>
      <c r="C351" s="1330" t="s">
        <v>1079</v>
      </c>
      <c r="D351" s="1331" t="s">
        <v>46</v>
      </c>
      <c r="E351" s="1332">
        <f>SUM(D352)</f>
        <v>8.4</v>
      </c>
      <c r="F351" s="1332"/>
      <c r="G351" s="1333">
        <f>E351*F351</f>
        <v>0</v>
      </c>
      <c r="H351" s="201">
        <v>2E-05</v>
      </c>
      <c r="I351" s="201">
        <f>E351*H351</f>
        <v>0.00016800000000000002</v>
      </c>
      <c r="J351" s="85">
        <v>0</v>
      </c>
      <c r="K351" s="85">
        <f>E351*J351</f>
        <v>0</v>
      </c>
      <c r="L351" s="85"/>
      <c r="M351" s="85"/>
      <c r="N351" s="202"/>
      <c r="O351" s="203"/>
      <c r="P351" s="203"/>
      <c r="Q351" s="203"/>
      <c r="R351" s="203"/>
      <c r="S351" s="203"/>
      <c r="T351" s="203"/>
    </row>
    <row r="352" spans="1:20" s="214" customFormat="1" ht="15" customHeight="1">
      <c r="A352" s="1328"/>
      <c r="B352" s="1340" t="s">
        <v>1049</v>
      </c>
      <c r="C352" s="1341" t="s">
        <v>1088</v>
      </c>
      <c r="D352" s="1342">
        <f>5.3+1.2*0.2*13-0.02</f>
        <v>8.4</v>
      </c>
      <c r="E352" s="1343"/>
      <c r="F352" s="1343"/>
      <c r="G352" s="1344"/>
      <c r="H352" s="210"/>
      <c r="I352" s="210"/>
      <c r="J352" s="211"/>
      <c r="K352" s="85"/>
      <c r="L352" s="211"/>
      <c r="M352" s="211"/>
      <c r="N352" s="212"/>
      <c r="O352" s="213"/>
      <c r="P352" s="213"/>
      <c r="Q352" s="213"/>
      <c r="R352" s="213"/>
      <c r="S352" s="213"/>
      <c r="T352" s="213"/>
    </row>
    <row r="353" spans="1:20" s="204" customFormat="1" ht="18" customHeight="1">
      <c r="A353" s="1328" t="s">
        <v>1878</v>
      </c>
      <c r="B353" s="1329" t="s">
        <v>1080</v>
      </c>
      <c r="C353" s="1330" t="s">
        <v>1081</v>
      </c>
      <c r="D353" s="1331" t="s">
        <v>46</v>
      </c>
      <c r="E353" s="1332">
        <f>E351</f>
        <v>8.4</v>
      </c>
      <c r="F353" s="1332"/>
      <c r="G353" s="1333">
        <f>E353*F353</f>
        <v>0</v>
      </c>
      <c r="H353" s="201"/>
      <c r="I353" s="201"/>
      <c r="J353" s="85"/>
      <c r="K353" s="85"/>
      <c r="L353" s="85"/>
      <c r="M353" s="85"/>
      <c r="N353" s="202"/>
      <c r="O353" s="203"/>
      <c r="P353" s="203"/>
      <c r="Q353" s="203"/>
      <c r="R353" s="203"/>
      <c r="S353" s="203"/>
      <c r="T353" s="203"/>
    </row>
    <row r="354" spans="1:20" s="204" customFormat="1" ht="18" customHeight="1">
      <c r="A354" s="1328" t="s">
        <v>1879</v>
      </c>
      <c r="B354" s="1329" t="s">
        <v>1082</v>
      </c>
      <c r="C354" s="1330" t="s">
        <v>1083</v>
      </c>
      <c r="D354" s="1331" t="s">
        <v>116</v>
      </c>
      <c r="E354" s="1332">
        <v>26</v>
      </c>
      <c r="F354" s="1332"/>
      <c r="G354" s="1333">
        <f>E354*F354</f>
        <v>0</v>
      </c>
      <c r="H354" s="201"/>
      <c r="I354" s="201"/>
      <c r="J354" s="85"/>
      <c r="K354" s="85"/>
      <c r="L354" s="85"/>
      <c r="M354" s="85"/>
      <c r="N354" s="202"/>
      <c r="O354" s="203"/>
      <c r="P354" s="203"/>
      <c r="Q354" s="203"/>
      <c r="R354" s="203"/>
      <c r="S354" s="203"/>
      <c r="T354" s="203"/>
    </row>
    <row r="355" spans="1:20" s="204" customFormat="1" ht="18" customHeight="1">
      <c r="A355" s="1328" t="s">
        <v>2249</v>
      </c>
      <c r="B355" s="1345" t="s">
        <v>1084</v>
      </c>
      <c r="C355" s="1330" t="s">
        <v>1085</v>
      </c>
      <c r="D355" s="1331" t="s">
        <v>46</v>
      </c>
      <c r="E355" s="1346">
        <f>E351</f>
        <v>8.4</v>
      </c>
      <c r="F355" s="1346"/>
      <c r="G355" s="1333">
        <f>E355*F355</f>
        <v>0</v>
      </c>
      <c r="H355" s="201"/>
      <c r="I355" s="201"/>
      <c r="J355" s="85"/>
      <c r="K355" s="85"/>
      <c r="L355" s="85"/>
      <c r="M355" s="85"/>
      <c r="N355" s="202"/>
      <c r="O355" s="203"/>
      <c r="P355" s="203"/>
      <c r="Q355" s="203"/>
      <c r="R355" s="203"/>
      <c r="S355" s="203"/>
      <c r="T355" s="203"/>
    </row>
    <row r="356" spans="1:20" s="204" customFormat="1" ht="28.5" customHeight="1">
      <c r="A356" s="1328" t="s">
        <v>2250</v>
      </c>
      <c r="B356" s="1345" t="s">
        <v>1086</v>
      </c>
      <c r="C356" s="1330" t="s">
        <v>1087</v>
      </c>
      <c r="D356" s="1331" t="s">
        <v>46</v>
      </c>
      <c r="E356" s="1346">
        <f>E351</f>
        <v>8.4</v>
      </c>
      <c r="F356" s="1346"/>
      <c r="G356" s="1333">
        <f>E356*F356</f>
        <v>0</v>
      </c>
      <c r="H356" s="201"/>
      <c r="I356" s="201"/>
      <c r="J356" s="85"/>
      <c r="K356" s="85"/>
      <c r="L356" s="85"/>
      <c r="M356" s="85"/>
      <c r="N356" s="202"/>
      <c r="O356" s="203"/>
      <c r="P356" s="203"/>
      <c r="Q356" s="203"/>
      <c r="R356" s="203"/>
      <c r="S356" s="203"/>
      <c r="T356" s="203"/>
    </row>
    <row r="357" spans="1:7" ht="14" thickBot="1">
      <c r="A357" s="1347"/>
      <c r="B357" s="1348"/>
      <c r="C357" s="1349"/>
      <c r="D357" s="1350"/>
      <c r="E357" s="1351"/>
      <c r="F357" s="1352"/>
      <c r="G357" s="1353"/>
    </row>
    <row r="358" spans="1:7" ht="18" customHeight="1" thickBot="1">
      <c r="A358" s="225"/>
      <c r="B358" s="226"/>
      <c r="C358" s="227" t="s">
        <v>113</v>
      </c>
      <c r="D358" s="226"/>
      <c r="E358" s="416"/>
      <c r="F358" s="417"/>
      <c r="G358" s="230">
        <f>SUBTOTAL(9,G328:G357)</f>
        <v>0</v>
      </c>
    </row>
    <row r="359" spans="1:7" ht="13" thickBot="1">
      <c r="A359" s="179"/>
      <c r="B359" s="180"/>
      <c r="C359" s="180"/>
      <c r="D359" s="180"/>
      <c r="E359" s="180"/>
      <c r="F359" s="180"/>
      <c r="G359" s="396"/>
    </row>
    <row r="360" spans="1:7" ht="13" thickBot="1">
      <c r="A360" s="182" t="s">
        <v>1645</v>
      </c>
      <c r="B360" s="183">
        <v>941</v>
      </c>
      <c r="C360" s="184" t="s">
        <v>1334</v>
      </c>
      <c r="D360" s="397"/>
      <c r="E360" s="398"/>
      <c r="F360" s="187"/>
      <c r="G360" s="399"/>
    </row>
    <row r="361" spans="1:7" ht="12.75">
      <c r="A361" s="189"/>
      <c r="B361" s="400"/>
      <c r="C361" s="232"/>
      <c r="D361" s="233"/>
      <c r="E361" s="401"/>
      <c r="F361" s="402"/>
      <c r="G361" s="403"/>
    </row>
    <row r="362" spans="1:12" s="204" customFormat="1" ht="26">
      <c r="A362" s="1354" t="s">
        <v>1667</v>
      </c>
      <c r="B362" s="1355" t="s">
        <v>1323</v>
      </c>
      <c r="C362" s="1356" t="s">
        <v>1324</v>
      </c>
      <c r="D362" s="1355" t="s">
        <v>46</v>
      </c>
      <c r="E362" s="1357">
        <f>SUM(D363)</f>
        <v>1533.0000000000002</v>
      </c>
      <c r="F362" s="1357"/>
      <c r="G362" s="1321">
        <f>$E362*F362</f>
        <v>0</v>
      </c>
      <c r="H362" s="615"/>
      <c r="I362" s="615"/>
      <c r="J362" s="615">
        <v>0</v>
      </c>
      <c r="K362" s="615">
        <f aca="true" t="shared" si="13" ref="K362">E362*J362</f>
        <v>0</v>
      </c>
      <c r="L362" s="615"/>
    </row>
    <row r="363" spans="1:12" s="595" customFormat="1" ht="25.5" customHeight="1">
      <c r="A363" s="1354"/>
      <c r="B363" s="1358"/>
      <c r="C363" s="1359" t="s">
        <v>1888</v>
      </c>
      <c r="D363" s="1360">
        <f>(165*8.6)*1.08+0.48</f>
        <v>1533.0000000000002</v>
      </c>
      <c r="E363" s="1361"/>
      <c r="F363" s="1361"/>
      <c r="G363" s="1362"/>
      <c r="H363" s="592"/>
      <c r="I363" s="922"/>
      <c r="J363" s="922"/>
      <c r="K363" s="922"/>
      <c r="L363" s="922"/>
    </row>
    <row r="364" spans="1:12" s="204" customFormat="1" ht="26">
      <c r="A364" s="1354" t="s">
        <v>1668</v>
      </c>
      <c r="B364" s="1355" t="s">
        <v>1325</v>
      </c>
      <c r="C364" s="1356" t="s">
        <v>1326</v>
      </c>
      <c r="D364" s="1355" t="s">
        <v>46</v>
      </c>
      <c r="E364" s="1357">
        <f>E362*90</f>
        <v>137970.00000000003</v>
      </c>
      <c r="F364" s="1357"/>
      <c r="G364" s="1321">
        <f>$E364*F364</f>
        <v>0</v>
      </c>
      <c r="H364" s="615"/>
      <c r="I364" s="615"/>
      <c r="J364" s="615">
        <v>0</v>
      </c>
      <c r="K364" s="615">
        <f aca="true" t="shared" si="14" ref="K364:K367">E364*J364</f>
        <v>0</v>
      </c>
      <c r="L364" s="615"/>
    </row>
    <row r="365" spans="1:12" s="204" customFormat="1" ht="30" customHeight="1">
      <c r="A365" s="1354" t="s">
        <v>1669</v>
      </c>
      <c r="B365" s="1355" t="s">
        <v>1327</v>
      </c>
      <c r="C365" s="1356" t="s">
        <v>1328</v>
      </c>
      <c r="D365" s="1355" t="s">
        <v>46</v>
      </c>
      <c r="E365" s="1357">
        <f>E362</f>
        <v>1533.0000000000002</v>
      </c>
      <c r="F365" s="1357"/>
      <c r="G365" s="1321">
        <f>$E365*F365</f>
        <v>0</v>
      </c>
      <c r="H365" s="615"/>
      <c r="I365" s="615"/>
      <c r="J365" s="615">
        <v>0</v>
      </c>
      <c r="K365" s="615">
        <f t="shared" si="14"/>
        <v>0</v>
      </c>
      <c r="L365" s="615"/>
    </row>
    <row r="366" spans="1:12" s="204" customFormat="1" ht="16.5" customHeight="1">
      <c r="A366" s="1354" t="s">
        <v>1670</v>
      </c>
      <c r="B366" s="1355" t="s">
        <v>1329</v>
      </c>
      <c r="C366" s="1356" t="s">
        <v>1330</v>
      </c>
      <c r="D366" s="1355" t="s">
        <v>46</v>
      </c>
      <c r="E366" s="1357">
        <f>E362</f>
        <v>1533.0000000000002</v>
      </c>
      <c r="F366" s="1357"/>
      <c r="G366" s="1321">
        <f>$E366*F366</f>
        <v>0</v>
      </c>
      <c r="H366" s="615"/>
      <c r="I366" s="615"/>
      <c r="J366" s="615">
        <v>0</v>
      </c>
      <c r="K366" s="615">
        <f t="shared" si="14"/>
        <v>0</v>
      </c>
      <c r="L366" s="615"/>
    </row>
    <row r="367" spans="1:12" s="204" customFormat="1" ht="16.5" customHeight="1">
      <c r="A367" s="1354" t="s">
        <v>1671</v>
      </c>
      <c r="B367" s="1355" t="s">
        <v>1331</v>
      </c>
      <c r="C367" s="1356" t="s">
        <v>1332</v>
      </c>
      <c r="D367" s="1355" t="s">
        <v>46</v>
      </c>
      <c r="E367" s="1357">
        <f>E366*90</f>
        <v>137970.00000000003</v>
      </c>
      <c r="F367" s="1357"/>
      <c r="G367" s="1321">
        <f>$E367*F367</f>
        <v>0</v>
      </c>
      <c r="H367" s="615"/>
      <c r="I367" s="615"/>
      <c r="J367" s="615">
        <v>0</v>
      </c>
      <c r="K367" s="615">
        <f t="shared" si="14"/>
        <v>0</v>
      </c>
      <c r="L367" s="615"/>
    </row>
    <row r="368" spans="1:12" s="204" customFormat="1" ht="16.5" customHeight="1">
      <c r="A368" s="1354" t="s">
        <v>1672</v>
      </c>
      <c r="B368" s="1355">
        <v>944511811</v>
      </c>
      <c r="C368" s="1356" t="s">
        <v>1333</v>
      </c>
      <c r="D368" s="1355" t="s">
        <v>46</v>
      </c>
      <c r="E368" s="1357">
        <f>E366</f>
        <v>1533.0000000000002</v>
      </c>
      <c r="F368" s="1357"/>
      <c r="G368" s="1321">
        <f>$E368*F368</f>
        <v>0</v>
      </c>
      <c r="H368" s="615"/>
      <c r="I368" s="615"/>
      <c r="J368" s="615"/>
      <c r="K368" s="615"/>
      <c r="L368" s="615"/>
    </row>
    <row r="369" spans="1:12" s="244" customFormat="1" ht="14" thickBot="1">
      <c r="A369" s="1363"/>
      <c r="B369" s="1348"/>
      <c r="C369" s="1349"/>
      <c r="D369" s="1350"/>
      <c r="E369" s="1352"/>
      <c r="F369" s="1352"/>
      <c r="G369" s="1364"/>
      <c r="H369" s="241"/>
      <c r="I369" s="241"/>
      <c r="J369" s="241"/>
      <c r="K369" s="241"/>
      <c r="L369" s="241"/>
    </row>
    <row r="370" spans="1:7" ht="17.25" customHeight="1" thickBot="1">
      <c r="A370" s="225"/>
      <c r="B370" s="226"/>
      <c r="C370" s="227" t="s">
        <v>113</v>
      </c>
      <c r="D370" s="226"/>
      <c r="E370" s="416"/>
      <c r="F370" s="417"/>
      <c r="G370" s="230">
        <f>SUBTOTAL(9,G361:G369)</f>
        <v>0</v>
      </c>
    </row>
    <row r="371" spans="1:7" ht="13" thickBot="1">
      <c r="A371" s="179"/>
      <c r="B371" s="180"/>
      <c r="C371" s="180"/>
      <c r="D371" s="180"/>
      <c r="E371" s="180"/>
      <c r="F371" s="180"/>
      <c r="G371" s="396"/>
    </row>
    <row r="372" spans="1:7" s="327" customFormat="1" ht="13" thickBot="1">
      <c r="A372" s="182" t="s">
        <v>291</v>
      </c>
      <c r="B372" s="183"/>
      <c r="C372" s="184" t="s">
        <v>338</v>
      </c>
      <c r="D372" s="397"/>
      <c r="E372" s="440"/>
      <c r="F372" s="441"/>
      <c r="G372" s="399"/>
    </row>
    <row r="373" spans="1:7" s="327" customFormat="1" ht="12.75">
      <c r="A373" s="189"/>
      <c r="B373" s="400"/>
      <c r="C373" s="232"/>
      <c r="D373" s="233"/>
      <c r="E373" s="401"/>
      <c r="F373" s="402"/>
      <c r="G373" s="403"/>
    </row>
    <row r="374" spans="1:12" s="449" customFormat="1" ht="44.25" customHeight="1">
      <c r="A374" s="1328" t="s">
        <v>291</v>
      </c>
      <c r="B374" s="442"/>
      <c r="C374" s="443" t="s">
        <v>247</v>
      </c>
      <c r="D374" s="444"/>
      <c r="E374" s="1365"/>
      <c r="F374" s="1366"/>
      <c r="G374" s="1367">
        <f>$E374*F374</f>
        <v>0</v>
      </c>
      <c r="H374" s="447"/>
      <c r="I374" s="447"/>
      <c r="J374" s="448"/>
      <c r="K374" s="448"/>
      <c r="L374" s="447"/>
    </row>
    <row r="375" spans="1:7" s="327" customFormat="1" ht="13" thickBot="1">
      <c r="A375" s="1368"/>
      <c r="B375" s="1369"/>
      <c r="C375" s="1370"/>
      <c r="D375" s="1369"/>
      <c r="E375" s="1371"/>
      <c r="F375" s="1372"/>
      <c r="G375" s="1373"/>
    </row>
    <row r="376" spans="1:7" s="327" customFormat="1" ht="13" thickBot="1">
      <c r="A376" s="225"/>
      <c r="B376" s="226"/>
      <c r="C376" s="227" t="s">
        <v>113</v>
      </c>
      <c r="D376" s="226"/>
      <c r="E376" s="303"/>
      <c r="F376" s="304"/>
      <c r="G376" s="230">
        <f>SUBTOTAL(9,G373:G375)</f>
        <v>0</v>
      </c>
    </row>
    <row r="377" spans="1:7" s="327" customFormat="1" ht="13" thickBot="1">
      <c r="A377" s="179"/>
      <c r="B377" s="180"/>
      <c r="C377" s="180"/>
      <c r="D377" s="180"/>
      <c r="E377" s="180"/>
      <c r="F377" s="180"/>
      <c r="G377" s="396"/>
    </row>
    <row r="378" spans="1:7" s="327" customFormat="1" ht="27.75" customHeight="1" thickBot="1">
      <c r="A378" s="453"/>
      <c r="B378" s="316"/>
      <c r="C378" s="317" t="s">
        <v>38</v>
      </c>
      <c r="D378" s="454"/>
      <c r="E378" s="454"/>
      <c r="F378" s="454"/>
      <c r="G378" s="319">
        <f>SUBTOTAL(9,G36:G376)</f>
        <v>0</v>
      </c>
    </row>
    <row r="380" spans="1:7" s="327" customFormat="1" ht="12.75">
      <c r="A380" s="322"/>
      <c r="B380" s="323"/>
      <c r="C380" s="323"/>
      <c r="D380" s="325"/>
      <c r="E380" s="326"/>
      <c r="F380" s="326"/>
      <c r="G380" s="328"/>
    </row>
    <row r="381" spans="1:7" s="327" customFormat="1" ht="12.75">
      <c r="A381" s="322"/>
      <c r="B381" s="323"/>
      <c r="C381" s="323"/>
      <c r="D381" s="325"/>
      <c r="E381" s="326"/>
      <c r="F381" s="326"/>
      <c r="G381" s="328"/>
    </row>
    <row r="382" spans="1:7" s="327" customFormat="1" ht="12.75">
      <c r="A382" s="322"/>
      <c r="B382" s="323"/>
      <c r="C382" s="323"/>
      <c r="D382" s="325"/>
      <c r="E382" s="326"/>
      <c r="F382" s="326"/>
      <c r="G382" s="328"/>
    </row>
    <row r="383" spans="1:7" s="327" customFormat="1" ht="12.75">
      <c r="A383" s="322"/>
      <c r="B383" s="323"/>
      <c r="C383" s="323"/>
      <c r="D383" s="325"/>
      <c r="E383" s="326"/>
      <c r="F383" s="326"/>
      <c r="G383" s="328"/>
    </row>
    <row r="384" spans="1:7" s="327" customFormat="1" ht="12.75">
      <c r="A384" s="322"/>
      <c r="B384" s="323"/>
      <c r="C384" s="323"/>
      <c r="D384" s="325"/>
      <c r="E384" s="326"/>
      <c r="F384" s="326"/>
      <c r="G384" s="328"/>
    </row>
    <row r="385" spans="1:7" s="327" customFormat="1" ht="12.75">
      <c r="A385" s="322"/>
      <c r="B385" s="323"/>
      <c r="C385" s="323"/>
      <c r="D385" s="325"/>
      <c r="E385" s="326"/>
      <c r="F385" s="326"/>
      <c r="G385" s="328"/>
    </row>
  </sheetData>
  <sheetProtection selectLockedCells="1" selectUnlockedCells="1"/>
  <mergeCells count="4">
    <mergeCell ref="F1:G1"/>
    <mergeCell ref="F2:G2"/>
    <mergeCell ref="F3:G3"/>
    <mergeCell ref="F4:G4"/>
  </mergeCells>
  <printOptions horizontalCentered="1"/>
  <pageMargins left="0.3937007874015748" right="0.3937007874015748" top="0.7480314960629921" bottom="0.7480314960629921" header="0.5118110236220472" footer="0.31496062992125984"/>
  <pageSetup fitToHeight="99" fitToWidth="1" horizontalDpi="300" verticalDpi="300" orientation="portrait" paperSize="9" scale="68"/>
  <headerFooter alignWithMargins="0">
    <oddFooter>&amp;L&amp;F
&amp;A&amp;C&amp;P/&amp;N</oddFooter>
  </headerFooter>
  <colBreaks count="2" manualBreakCount="2">
    <brk id="3" max="16383" man="1"/>
    <brk id="5" max="16383"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Zdena</dc:creator>
  <cp:keywords/>
  <dc:description/>
  <cp:lastModifiedBy>luka krizek</cp:lastModifiedBy>
  <cp:lastPrinted>2021-06-10T09:38:10Z</cp:lastPrinted>
  <dcterms:created xsi:type="dcterms:W3CDTF">2020-12-19T21:25:34Z</dcterms:created>
  <dcterms:modified xsi:type="dcterms:W3CDTF">2021-10-18T12:15:26Z</dcterms:modified>
  <cp:category/>
  <cp:version/>
  <cp:contentType/>
  <cp:contentStatus/>
</cp:coreProperties>
</file>